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activeTab="2"/>
  </bookViews>
  <sheets>
    <sheet name="IEEE_Cover" sheetId="1" r:id="rId1"/>
    <sheet name="Stats" sheetId="5" state="hidden" r:id="rId2"/>
    <sheet name="Comments" sheetId="2" r:id="rId3"/>
    <sheet name="Rogue Comments" sheetId="3" r:id="rId4"/>
  </sheets>
  <definedNames>
    <definedName name="_xlnm._FilterDatabase" localSheetId="2" hidden="1">Comments!$A$2:$T$22</definedName>
    <definedName name="_xlnm._FilterDatabase" localSheetId="3" hidden="1">'Rogue Comments'!$A$2:$P$85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5" l="1"/>
  <c r="H7" i="5"/>
  <c r="I7" i="5"/>
  <c r="I8" i="5"/>
  <c r="I9" i="5"/>
  <c r="I10" i="5"/>
  <c r="I11" i="5"/>
  <c r="I12" i="5"/>
  <c r="D10" i="5"/>
  <c r="Q22" i="5" l="1"/>
  <c r="J29" i="5" l="1"/>
  <c r="K29" i="5"/>
  <c r="I29" i="5"/>
  <c r="K28" i="5"/>
  <c r="J28" i="5"/>
  <c r="I28" i="5"/>
  <c r="K27" i="5"/>
  <c r="J27" i="5"/>
  <c r="I27" i="5"/>
  <c r="K26" i="5"/>
  <c r="J26" i="5"/>
  <c r="I26" i="5"/>
  <c r="K25" i="5"/>
  <c r="J25" i="5"/>
  <c r="I25" i="5"/>
  <c r="K24" i="5"/>
  <c r="J24" i="5"/>
  <c r="I24" i="5"/>
  <c r="K23" i="5"/>
  <c r="J23" i="5"/>
  <c r="I23" i="5"/>
  <c r="K22" i="5"/>
  <c r="J22" i="5"/>
  <c r="I22" i="5"/>
  <c r="F24" i="5"/>
  <c r="E24" i="5"/>
  <c r="F33" i="5"/>
  <c r="F32" i="5"/>
  <c r="F31" i="5"/>
  <c r="F30" i="5"/>
  <c r="F29" i="5"/>
  <c r="F28" i="5"/>
  <c r="F27" i="5"/>
  <c r="F26" i="5"/>
  <c r="F25" i="5"/>
  <c r="F23" i="5"/>
  <c r="F22" i="5"/>
  <c r="F21" i="5"/>
  <c r="F20" i="5"/>
  <c r="E33" i="5"/>
  <c r="E32" i="5"/>
  <c r="E31" i="5"/>
  <c r="E30" i="5"/>
  <c r="E29" i="5"/>
  <c r="E28" i="5"/>
  <c r="E27" i="5"/>
  <c r="E26" i="5"/>
  <c r="E25" i="5"/>
  <c r="E23" i="5"/>
  <c r="E22" i="5"/>
  <c r="E21" i="5"/>
  <c r="E20" i="5"/>
  <c r="F19" i="5"/>
  <c r="E19" i="5"/>
  <c r="D33" i="5"/>
  <c r="D32" i="5"/>
  <c r="D31" i="5"/>
  <c r="D30" i="5"/>
  <c r="D29" i="5"/>
  <c r="D28" i="5"/>
  <c r="D27" i="5"/>
  <c r="D26" i="5"/>
  <c r="D25" i="5"/>
  <c r="D24" i="5"/>
  <c r="D23" i="5"/>
  <c r="D22" i="5"/>
  <c r="D21" i="5"/>
  <c r="D20" i="5"/>
  <c r="D19" i="5"/>
  <c r="D7" i="5"/>
  <c r="C7" i="5"/>
  <c r="C8" i="5"/>
  <c r="D8" i="5"/>
  <c r="D9" i="5"/>
  <c r="H12" i="5"/>
  <c r="H11" i="5"/>
  <c r="H10" i="5"/>
  <c r="H9" i="5"/>
  <c r="C9" i="5"/>
  <c r="C10" i="5"/>
  <c r="C11" i="5"/>
  <c r="C12" i="5"/>
  <c r="D12" i="5"/>
  <c r="D11" i="5"/>
  <c r="S20" i="5" l="1"/>
  <c r="K30" i="5"/>
  <c r="F34" i="5"/>
  <c r="S21" i="5"/>
  <c r="E34" i="5"/>
  <c r="J30" i="5"/>
  <c r="I30" i="5"/>
  <c r="N12" i="5"/>
  <c r="N7" i="5"/>
  <c r="N11" i="5"/>
  <c r="N9" i="5"/>
  <c r="N8" i="5"/>
  <c r="N10" i="5"/>
  <c r="M12" i="5"/>
  <c r="M8" i="5"/>
  <c r="M11" i="5"/>
  <c r="M10" i="5"/>
  <c r="M9" i="5"/>
  <c r="M7" i="5"/>
  <c r="D34" i="5"/>
  <c r="J12" i="5"/>
  <c r="J10" i="5"/>
  <c r="J9" i="5"/>
  <c r="J8" i="5"/>
  <c r="I13" i="5"/>
  <c r="R21" i="5" s="1"/>
  <c r="J11" i="5"/>
  <c r="H13" i="5"/>
  <c r="J7" i="5"/>
  <c r="E12" i="5"/>
  <c r="E11" i="5"/>
  <c r="E10" i="5"/>
  <c r="E9" i="5"/>
  <c r="E8" i="5"/>
  <c r="E7" i="5"/>
  <c r="D13" i="5"/>
  <c r="R20" i="5" s="1"/>
  <c r="C13" i="5"/>
  <c r="S22" i="5" l="1"/>
  <c r="S23" i="5" s="1"/>
  <c r="R22" i="5"/>
  <c r="Q23" i="5" s="1"/>
  <c r="M13" i="5"/>
  <c r="N13" i="5"/>
  <c r="J13" i="5"/>
  <c r="E13" i="5"/>
  <c r="M14" i="5" l="1"/>
</calcChain>
</file>

<file path=xl/sharedStrings.xml><?xml version="1.0" encoding="utf-8"?>
<sst xmlns="http://schemas.openxmlformats.org/spreadsheetml/2006/main" count="536" uniqueCount="184">
  <si>
    <t>IEEE P802.15</t>
  </si>
  <si>
    <t>Project</t>
  </si>
  <si>
    <t>Title</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</si>
  <si>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</si>
  <si>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</si>
  <si>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</si>
  <si>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</si>
  <si>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</si>
  <si>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</si>
  <si>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</si>
  <si>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</si>
  <si>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</si>
  <si>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</si>
  <si>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</si>
  <si>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</si>
  <si>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</si>
  <si>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</si>
  <si>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</si>
  <si>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</si>
  <si>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</si>
  <si>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</si>
  <si>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Page/Sub-clause/Line Number</t>
    </r>
    <r>
      <rPr>
        <b/>
        <sz val="10"/>
        <rFont val="Arial"/>
        <family val="2"/>
      </rPr>
      <t xml:space="preserve"> -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E/T -Only one letter is allowed, either E or T.  Enter E if comment is editorial or T if comment is technical.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</si>
  <si>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Wireless Specialty Networks</t>
  </si>
  <si>
    <t>IEEE P802.15 Working Group for Wireless Specialty Networks (WSNs)</t>
  </si>
  <si>
    <t>6.2.5.1</t>
  </si>
  <si>
    <t>6.5.4</t>
  </si>
  <si>
    <t>6.7.2</t>
  </si>
  <si>
    <t>9.2.3</t>
  </si>
  <si>
    <t>Tero Kivinen</t>
  </si>
  <si>
    <t>No affiliation</t>
  </si>
  <si>
    <t>kivinen@iki.fi</t>
  </si>
  <si>
    <t>6.2.5.2</t>
  </si>
  <si>
    <t>6.2.5.3</t>
  </si>
  <si>
    <t>Sandra Jessen</t>
  </si>
  <si>
    <t>ZigBee Alliance</t>
  </si>
  <si>
    <t>sdj@exegin.com</t>
  </si>
  <si>
    <t>5.7.4</t>
  </si>
  <si>
    <t>6.3.6</t>
  </si>
  <si>
    <t>6.5.4.2</t>
  </si>
  <si>
    <t>Arasch Honarbacht</t>
  </si>
  <si>
    <t>honarbacht@ubisys.de</t>
  </si>
  <si>
    <t>6.7.3</t>
  </si>
  <si>
    <t>9.2.1</t>
  </si>
  <si>
    <t>Ciaran Woodward</t>
  </si>
  <si>
    <t>Thread Group (Cascoda Ltd)</t>
  </si>
  <si>
    <t>c.woodward@cascoda.com</t>
  </si>
  <si>
    <t>9.3.2.1</t>
  </si>
  <si>
    <t>Group</t>
  </si>
  <si>
    <t>TSCH</t>
  </si>
  <si>
    <t>MAC Frame</t>
  </si>
  <si>
    <t>MAC IE</t>
  </si>
  <si>
    <t>MAC primitives</t>
  </si>
  <si>
    <t>Security</t>
  </si>
  <si>
    <t>UWB</t>
  </si>
  <si>
    <t>CCA</t>
  </si>
  <si>
    <t>MAC Commands</t>
  </si>
  <si>
    <t>SUN PHY</t>
  </si>
  <si>
    <t>SRM</t>
  </si>
  <si>
    <t>RIT</t>
  </si>
  <si>
    <t>CSL</t>
  </si>
  <si>
    <t>Action</t>
  </si>
  <si>
    <t>Notes</t>
  </si>
  <si>
    <t>CID#</t>
  </si>
  <si>
    <t>Revised</t>
  </si>
  <si>
    <t>Propsed Resolution</t>
  </si>
  <si>
    <t>Chris Hett</t>
  </si>
  <si>
    <t>Landis+Gyr</t>
  </si>
  <si>
    <t>chris.hett@landisgyr.com</t>
  </si>
  <si>
    <t>6.12.3.3</t>
  </si>
  <si>
    <t>8.4.2.2</t>
  </si>
  <si>
    <t>8.4.2.5</t>
  </si>
  <si>
    <t>Proposed Resolution</t>
  </si>
  <si>
    <t>Resolution (Accept/ Revised/ Reject/ Withdrawn)</t>
  </si>
  <si>
    <t>Defer</t>
  </si>
  <si>
    <t>9.3.2</t>
  </si>
  <si>
    <t>9.3.2.2</t>
  </si>
  <si>
    <t>9.3.2.3</t>
  </si>
  <si>
    <t>9.3.3</t>
  </si>
  <si>
    <t>9.3.4</t>
  </si>
  <si>
    <t>9.3.4.1</t>
  </si>
  <si>
    <t>9.3.4.2</t>
  </si>
  <si>
    <t>9.3.4.3</t>
  </si>
  <si>
    <t>9.3.5</t>
  </si>
  <si>
    <t>9.3.5.1</t>
  </si>
  <si>
    <t>9.3.5.2</t>
  </si>
  <si>
    <t>9.4.2</t>
  </si>
  <si>
    <t>23.3.4</t>
  </si>
  <si>
    <t>Editorial</t>
  </si>
  <si>
    <t>Technical</t>
  </si>
  <si>
    <t>Accepted</t>
  </si>
  <si>
    <t>Rejected</t>
  </si>
  <si>
    <t>Withdrawn</t>
  </si>
  <si>
    <t>Total</t>
  </si>
  <si>
    <t>LB150 Comments</t>
  </si>
  <si>
    <t>Rougue Comments</t>
  </si>
  <si>
    <t>Grand Total</t>
  </si>
  <si>
    <t>Open</t>
  </si>
  <si>
    <t>LB150 + Rogue Total Comments</t>
  </si>
  <si>
    <t>Band Designation</t>
  </si>
  <si>
    <t>MAC Primitives</t>
  </si>
  <si>
    <t>Deprecation</t>
  </si>
  <si>
    <t>PHY Modes</t>
  </si>
  <si>
    <t>Radio Spec</t>
  </si>
  <si>
    <t>General</t>
  </si>
  <si>
    <t>Closed</t>
  </si>
  <si>
    <t>Closed/Open</t>
  </si>
  <si>
    <t>O</t>
  </si>
  <si>
    <t>Status</t>
  </si>
  <si>
    <t>LB-150 Technical Comments by Groups</t>
  </si>
  <si>
    <t>Rogue Technical Comments by Groups</t>
  </si>
  <si>
    <t>LB150</t>
  </si>
  <si>
    <t xml:space="preserve">Editorial </t>
  </si>
  <si>
    <t>Rougue</t>
  </si>
  <si>
    <t>Implemented</t>
  </si>
  <si>
    <t>Table 9-15</t>
  </si>
  <si>
    <t>B.2</t>
  </si>
  <si>
    <t>802.15.4 IG JRE Comment Submission</t>
    <phoneticPr fontId="0" type="noConversion"/>
  </si>
  <si>
    <t>Takashi Kuramochi</t>
    <phoneticPr fontId="0" type="noConversion"/>
  </si>
  <si>
    <t>Voice: +81-45-476-9295</t>
    <phoneticPr fontId="0" type="noConversion"/>
  </si>
  <si>
    <t xml:space="preserve">2-4-8 Shinyokohama,Kouhoku-ku,Yokohama </t>
    <phoneticPr fontId="0" type="noConversion"/>
  </si>
  <si>
    <t>222-8575 Japan</t>
    <phoneticPr fontId="0" type="noConversion"/>
  </si>
  <si>
    <t>E-mail: kuramochi722@dsn.lapis-semi.com</t>
    <phoneticPr fontId="0" type="noConversion"/>
  </si>
  <si>
    <t>802.15.4 IG JRE Draft Comments</t>
    <phoneticPr fontId="0" type="noConversion"/>
  </si>
  <si>
    <t>P802.15.4.IG.JRE_Comment_Entry_Form.xls</t>
    <phoneticPr fontId="0" type="noConversion"/>
  </si>
  <si>
    <t>Si-Labs</t>
    <phoneticPr fontId="0" type="noConversion"/>
  </si>
  <si>
    <t>Hendricus.DeRuijter@silabs.com</t>
    <phoneticPr fontId="0" type="noConversion"/>
  </si>
  <si>
    <t>Henk De Ruijter</t>
    <phoneticPr fontId="0" type="noConversion"/>
  </si>
  <si>
    <t>5.2a</t>
    <phoneticPr fontId="0" type="noConversion"/>
  </si>
  <si>
    <t>5.2b</t>
    <phoneticPr fontId="0" type="noConversion"/>
  </si>
  <si>
    <t>E</t>
  </si>
  <si>
    <r>
      <t>2.1 Title: Amendments</t>
    </r>
    <r>
      <rPr>
        <b/>
        <sz val="10"/>
        <color rgb="FFFF0000"/>
        <rFont val="Arial"/>
        <family val="2"/>
      </rPr>
      <t xml:space="preserve"> of  the</t>
    </r>
    <r>
      <rPr>
        <sz val="10"/>
        <rFont val="Arial"/>
        <family val="2"/>
      </rPr>
      <t xml:space="preserve"> clause 20. SUN FSK PHY and clauses associated with SUN FSK in IEEE Std 802.15.4™-2015</t>
    </r>
  </si>
  <si>
    <r>
      <t>Amendment: The higher data rate extension</t>
    </r>
    <r>
      <rPr>
        <b/>
        <sz val="10"/>
        <color rgb="FFFF0000"/>
        <rFont val="Arial"/>
        <family val="2"/>
      </rPr>
      <t xml:space="preserve"> of the</t>
    </r>
    <r>
      <rPr>
        <sz val="10"/>
        <rFont val="Arial"/>
        <family val="2"/>
      </rPr>
      <t xml:space="preserve"> clause 20. SUN FSK PHY and clauses associated with SUN FSK in IEEE Std 802.15.4™-2015</t>
    </r>
  </si>
  <si>
    <r>
      <t>5.2.a. Scope of the complete standard: This standard defines new operating</t>
    </r>
    <r>
      <rPr>
        <b/>
        <sz val="10"/>
        <color rgb="FFFF0000"/>
        <rFont val="Arial"/>
        <family val="2"/>
      </rPr>
      <t xml:space="preserve"> mode</t>
    </r>
    <r>
      <rPr>
        <sz val="10"/>
        <rFont val="Arial"/>
        <family val="2"/>
      </rPr>
      <t xml:space="preserve"> of the SUN FSK physical layer (PHY)  for the extension of higher data rate in Japan.</t>
    </r>
  </si>
  <si>
    <t>Resolution (Accept/ Revised/Reject/Withdrawn)</t>
  </si>
  <si>
    <t>Document</t>
  </si>
  <si>
    <t>15-20-0158-01-0jre-draft-par</t>
  </si>
  <si>
    <t>[This document is used to submit comments for  802.15.4 IG.JRE -PAR &amp; CSD
15-20-0158-01-0jre-draft-par-for-japanese-rate-extension.docx, 
15-20-0159-01-0jre-draft-csd-for-japanese-rate-extension.docx]</t>
  </si>
  <si>
    <t>July 2020</t>
    <phoneticPr fontId="0" type="noConversion"/>
  </si>
  <si>
    <r>
      <t>2.1 Title: Amendments</t>
    </r>
    <r>
      <rPr>
        <b/>
        <sz val="10"/>
        <color rgb="FFFF0000"/>
        <rFont val="Arial"/>
        <family val="2"/>
      </rPr>
      <t xml:space="preserve"> to</t>
    </r>
    <r>
      <rPr>
        <sz val="10"/>
        <rFont val="Arial"/>
        <family val="2"/>
      </rPr>
      <t xml:space="preserve"> clause 20. SUN FSK PHY and clauses associated with SUN FSK in IEEE Std 802.15.4™-2015</t>
    </r>
    <phoneticPr fontId="0" type="noConversion"/>
  </si>
  <si>
    <t>2.1 Title: Amendments to SUN FSK PHY in IEEE Std 802.15.4</t>
    <phoneticPr fontId="0" type="noConversion"/>
  </si>
  <si>
    <t>Revised</t>
    <phoneticPr fontId="0" type="noConversion"/>
  </si>
  <si>
    <r>
      <t xml:space="preserve">Amendment: The higher data rate extension </t>
    </r>
    <r>
      <rPr>
        <b/>
        <sz val="10"/>
        <color rgb="FFFF0000"/>
        <rFont val="Arial"/>
        <family val="2"/>
      </rPr>
      <t xml:space="preserve">in </t>
    </r>
    <r>
      <rPr>
        <sz val="10"/>
        <rFont val="Arial"/>
        <family val="2"/>
      </rPr>
      <t>clause 20. SUN FSK PHY and clauses associated with SUN FSK in IEEE Std 802.15.4™-2015</t>
    </r>
    <phoneticPr fontId="0" type="noConversion"/>
  </si>
  <si>
    <t>Amendment: The higher data rate extension to SUN FSK PHY in IEEE Std 802.15.4</t>
    <phoneticPr fontId="0" type="noConversion"/>
  </si>
  <si>
    <r>
      <t>5.2.a. Scope of the complete standard: This standard defines new operating</t>
    </r>
    <r>
      <rPr>
        <b/>
        <sz val="10"/>
        <color rgb="FFFF0000"/>
        <rFont val="Arial"/>
        <family val="2"/>
      </rPr>
      <t xml:space="preserve"> mode(s) </t>
    </r>
    <r>
      <rPr>
        <sz val="10"/>
        <rFont val="Arial"/>
        <family val="2"/>
      </rPr>
      <t>of the SUN FSK physical layer (PHY)  for the extension of higher data rate in Japan.</t>
    </r>
    <phoneticPr fontId="0" type="noConversion"/>
  </si>
  <si>
    <r>
      <t xml:space="preserve">5.2.b. Scope of the project: This amendment defines a data rate extension of SUN FSK physical layer(PHY) to IEEE Std. 802.15.4-Current Revision. It adds higher data rates extensions for the SUN FSK modulation and channel parameters. This extension only focuses on Japanese frequency band </t>
    </r>
    <r>
      <rPr>
        <b/>
        <sz val="10"/>
        <color rgb="FFFF0000"/>
        <rFont val="Arial"/>
        <family val="2"/>
      </rPr>
      <t>and shall comply to</t>
    </r>
    <r>
      <rPr>
        <sz val="10"/>
        <rFont val="Arial"/>
        <family val="2"/>
      </rPr>
      <t xml:space="preserve"> domestic regulation (ARIB STD-T108). </t>
    </r>
    <phoneticPr fontId="0" type="noConversion"/>
  </si>
  <si>
    <r>
      <t xml:space="preserve">5.2.b. Scope of the project: This amendment defines a data rate extension of SUN FSK physical layer(PHY) to IEEE Std. 802.15.4-Current Revision. It adds higher data rates extensions for the SUN FSK modulation and channel parameters. This extension only focuses on Japanese frequency band </t>
    </r>
    <r>
      <rPr>
        <b/>
        <sz val="10"/>
        <color rgb="FFFF0000"/>
        <rFont val="Arial"/>
        <family val="2"/>
      </rPr>
      <t>to meet</t>
    </r>
    <r>
      <rPr>
        <sz val="10"/>
        <rFont val="Arial"/>
        <family val="2"/>
      </rPr>
      <t xml:space="preserve"> domestic regulation (ARIB STD-T108). </t>
    </r>
    <phoneticPr fontId="0" type="noConversion"/>
  </si>
  <si>
    <t>5.2.b. Scope of the project: This amendment defines a data rate extension of SUN FSK PHY to IEEE Std. 802.15.4-Current Revision. It adds higher data rates extensions for the SUN FSK modulation and channel parameters. This extension focuses on Japanese frequency band to meet regional regulation.</t>
    <phoneticPr fontId="0" type="noConversion"/>
  </si>
  <si>
    <r>
      <t xml:space="preserve">5.5 Need for the Project: The demand for the improvement of energy efficiency and the usage of the natural energy increase worldwide in order to mitigate global warming. As a result, from 2015 the uses of smart meters have increased dramatically throughout Japan. Tens of millions more smart meters are deployed, and the communication protocol is based on IEEE Std. 802.15.4g SUN FSK. At the same time there is a movement to collect and manage sensor data using wireless networks not only to optimize energy consumption and lighting in buildings but also for crime and disaster prevention. Furthermore these wireless sensor networks are becoming increasingly used to improve productivity in agriculture as well. In recent years, higher data rate requirements come from utilities for increase of the number of nodes in one PAN, </t>
    </r>
    <r>
      <rPr>
        <b/>
        <sz val="10"/>
        <color rgb="FFFF0000"/>
        <rFont val="Arial"/>
        <family val="2"/>
      </rPr>
      <t>correcting</t>
    </r>
    <r>
      <rPr>
        <sz val="10"/>
        <rFont val="Arial"/>
        <family val="2"/>
      </rPr>
      <t xml:space="preserve"> various utility information not only electricity but also gas and water, and OTA updates without increase of power consumption. In order to meet these requirements these amendments are needed. From the view point of backward compatibility and ease of wireless communication network design, FSK modulation scheme is suitable for the extended applications.</t>
    </r>
    <phoneticPr fontId="0" type="noConversion"/>
  </si>
  <si>
    <r>
      <t xml:space="preserve">5.5 Need for the Project: The demand for the improvement of energy efficiency and the usage of the natural energy increase worldwide in order to mitigate global warming. As a result, from 2015 the uses of smart meters have increased dramatically throughout Japan. Tens of millions more smart meters are deployed, and the communication protocol is based on IEEE Std. 802.15.4g SUN FSK. At the same time there is a movement to collect and manage sensor data using wireless networks not only to optimize energy consumption and lighting in buildings but also for crime and disaster prevention. Furthermore these wireless sensor networks are becoming increasingly used to improve productivity in agriculture as well. In recent years, higher data rate requirements come from utilities for increase of the number of nodes in one PAN, </t>
    </r>
    <r>
      <rPr>
        <b/>
        <sz val="10"/>
        <color rgb="FFFF0000"/>
        <rFont val="Arial"/>
        <family val="2"/>
      </rPr>
      <t>communicating</t>
    </r>
    <r>
      <rPr>
        <sz val="10"/>
        <rFont val="Arial"/>
        <family val="2"/>
      </rPr>
      <t xml:space="preserve"> various utility information not only electricity but also gas and water, and OTA updates without increase of power consumption. In order to meet these requirements these amendments are needed. From the view point of backward compatibility and ease of wireless communication network design, FSK modulation scheme is suitable for the extended applications. 
</t>
    </r>
    <phoneticPr fontId="0" type="noConversion"/>
  </si>
  <si>
    <r>
      <t xml:space="preserve">5.5 Need for the Project: The demand for the improvement of energy efficiency and the usage of the natural energy increase worldwide in order to mitigate global warming. As a result, from 2015 the uses of smart meters have increased dramatically throughout Japan. Tens of millions more smart meters are deployed, and the communication protocol is based on IEEE Std. 802.15.4 SUN FSK PHY. At the same time there is a movement to collect and manage sensor data using wireless networks not only to optimize energy consumption and lighting in buildings but also for crime and disaster prevention. Furthermore these wireless sensor networks are becoming increasingly used to improve productivity in agriculture as well. In recent years, higher data rate requirements come from utilities for increase of the number of nodes in one PAN, </t>
    </r>
    <r>
      <rPr>
        <b/>
        <sz val="10"/>
        <color rgb="FFFF0000"/>
        <rFont val="Arial"/>
        <family val="2"/>
      </rPr>
      <t>communicating</t>
    </r>
    <r>
      <rPr>
        <sz val="10"/>
        <rFont val="Arial"/>
        <family val="2"/>
      </rPr>
      <t xml:space="preserve"> various utility information not only electricity but also gas and water, and Over The Air (OTA) updates without increase of power consumption. In order to meet these requirements these amendments are needed. From the view point of backward compatibility and ease of wireless communication network design, FSK modulation scheme is suitable for the extended applications. 
</t>
    </r>
    <phoneticPr fontId="0" type="noConversion"/>
  </si>
  <si>
    <t>5.2.a. Scope of the complete standard: This standard defines updates to  SUN FSK PHY to support higher data rate(s) extension in Japan.</t>
    <phoneticPr fontId="0" type="noConversion"/>
  </si>
  <si>
    <t>Kunal Shah</t>
    <phoneticPr fontId="0" type="noConversion"/>
  </si>
  <si>
    <t>Itron</t>
    <phoneticPr fontId="0" type="noConversion"/>
  </si>
  <si>
    <t>Kunal.Shah@itron.com</t>
    <phoneticPr fontId="0" type="noConversion"/>
  </si>
  <si>
    <t>15-20-0158-02-0jre-draft-par-for-japanese-rate-extention</t>
    <phoneticPr fontId="0" type="noConversion"/>
  </si>
  <si>
    <t>Type of Project</t>
    <phoneticPr fontId="0" type="noConversion"/>
  </si>
  <si>
    <r>
      <t>Amendment to IEEE Standard 802.15.4</t>
    </r>
    <r>
      <rPr>
        <strike/>
        <sz val="10"/>
        <color rgb="FFFF0000"/>
        <rFont val="Arial"/>
        <family val="2"/>
      </rPr>
      <t>-2015</t>
    </r>
    <phoneticPr fontId="0" type="noConversion"/>
  </si>
  <si>
    <t xml:space="preserve">Suggest updating the title to: 
Standard for Low-Rate Wireless Networks
Amendment defining higher data ratee extension to IEEE 802.15.4 SUN FSK PHY </t>
    <phoneticPr fontId="0" type="noConversion"/>
  </si>
  <si>
    <t>5.4 Purpose</t>
    <phoneticPr fontId="0" type="noConversion"/>
  </si>
  <si>
    <t>2.1 Title</t>
    <phoneticPr fontId="0" type="noConversion"/>
  </si>
  <si>
    <t xml:space="preserve"> If the scope is to focus on mainly including higher data rate support, then long range should be removed from the purpose.</t>
    <phoneticPr fontId="0" type="noConversion"/>
  </si>
  <si>
    <t>5.5 Need for the Project:</t>
    <phoneticPr fontId="0" type="noConversion"/>
  </si>
  <si>
    <r>
      <t>Amendment to IEEE Standard 802.15.4</t>
    </r>
    <r>
      <rPr>
        <sz val="10"/>
        <color rgb="FFFF0000"/>
        <rFont val="Arial"/>
        <family val="2"/>
      </rPr>
      <t xml:space="preserve">-2015 </t>
    </r>
    <r>
      <rPr>
        <sz val="10"/>
        <rFont val="Arial"/>
        <family val="2"/>
      </rPr>
      <t xml:space="preserve">
</t>
    </r>
    <r>
      <rPr>
        <sz val="10"/>
        <color rgb="FF7030A0"/>
        <rFont val="Arial"/>
        <family val="2"/>
      </rPr>
      <t>Is this PAR planned to be approved during July plenary? If not, suggest removing the 2015 and only keep 802.15.4.</t>
    </r>
    <phoneticPr fontId="0" type="noConversion"/>
  </si>
  <si>
    <r>
      <t>The demand for the improvement of energy efficiency and the usage of the natural energy increase worldwide in order to mitigate global warming. As a result, from 2015 the uses of smart meters have increased dramatically throughout Japan. Tens of millions more smart meters are deployed, and the communication protocol is based on IEEE Std. 802.15.4g SUN FSK. At the same time there is a movement to collect and manage sensor data using wireless networks not only to optimize energy consumption and lighting in buildings but also for crime and disaster prevention. Furthermore these wireless sensor networks are becoming increasingly used to improve productivity in agriculture as well. In recent years, higher data rate requirements come from utilities for increase of the number of nodes in one PAN, communicating various utility information not only electricity but also gas and water, and</t>
    </r>
    <r>
      <rPr>
        <sz val="10"/>
        <color rgb="FFFF0000"/>
        <rFont val="Arial"/>
        <family val="2"/>
      </rPr>
      <t xml:space="preserve"> OTA updates </t>
    </r>
    <r>
      <rPr>
        <sz val="10"/>
        <rFont val="Arial"/>
        <family val="2"/>
      </rPr>
      <t xml:space="preserve">without increase of power consumption. In order to meet these requirements these amendments are needed. From the view point of backward compatibility and ease of wireless communication network design, FSK modulation scheme is suitable for the extended applications.
</t>
    </r>
    <phoneticPr fontId="0" type="noConversion"/>
  </si>
  <si>
    <t>Date Submitted</t>
    <phoneticPr fontId="0" type="noConversion"/>
  </si>
  <si>
    <t>15-20-0159-02-0jre-draft-csd-for-japanese-rate-extension</t>
    <phoneticPr fontId="0" type="noConversion"/>
  </si>
  <si>
    <t>Title</t>
    <phoneticPr fontId="0" type="noConversion"/>
  </si>
  <si>
    <r>
      <t xml:space="preserve">PAR Title: </t>
    </r>
    <r>
      <rPr>
        <sz val="10"/>
        <color rgb="FFFF0000"/>
        <rFont val="Arial"/>
        <family val="2"/>
      </rPr>
      <t xml:space="preserve">
Amendments to SUN FSK PHY in IEEE Std 802.15.4</t>
    </r>
    <r>
      <rPr>
        <sz val="10"/>
        <rFont val="Arial"/>
        <family val="2"/>
      </rPr>
      <t xml:space="preserve">
CSD title should be  the same as above</t>
    </r>
    <phoneticPr fontId="0" type="noConversion"/>
  </si>
  <si>
    <t>Distinct Identity</t>
    <phoneticPr fontId="0" type="noConversion"/>
  </si>
  <si>
    <r>
      <t xml:space="preserve">This amendment addresses the higher data rate capabilities of </t>
    </r>
    <r>
      <rPr>
        <sz val="10"/>
        <color rgb="FFFF0000"/>
        <rFont val="Arial"/>
        <family val="2"/>
      </rPr>
      <t>clause 20.</t>
    </r>
    <r>
      <rPr>
        <sz val="10"/>
        <rFont val="Arial"/>
        <family val="2"/>
      </rPr>
      <t xml:space="preserve"> SUN FSK PHY in IEEE Std 802.15.4 for Japan and as such is unique to the particular set of capabilities of this standard and these PHYs.
</t>
    </r>
    <r>
      <rPr>
        <sz val="10"/>
        <color rgb="FF7030A0"/>
        <rFont val="Arial"/>
        <family val="2"/>
      </rPr>
      <t xml:space="preserve">Not required to specify, as this clause number might change the latest revision. Remove the clause number.
</t>
    </r>
    <phoneticPr fontId="0" type="noConversion"/>
  </si>
  <si>
    <r>
      <t xml:space="preserve">This amendment addresses the higher data rate capabilities of </t>
    </r>
    <r>
      <rPr>
        <strike/>
        <sz val="10"/>
        <color rgb="FFFF0000"/>
        <rFont val="Arial"/>
        <family val="2"/>
      </rPr>
      <t>clause 20.</t>
    </r>
    <r>
      <rPr>
        <sz val="10"/>
        <rFont val="Arial"/>
        <family val="2"/>
      </rPr>
      <t xml:space="preserve"> SUN FSK PHY in IEEE Std 802.15.4 for Japan and as such is unique to the particular set of capabilities of this standard and these PHYs.</t>
    </r>
    <phoneticPr fontId="0" type="noConversion"/>
  </si>
  <si>
    <t>E</t>
    <phoneticPr fontId="0" type="noConversion"/>
  </si>
  <si>
    <t xml:space="preserve">Accept
</t>
    <phoneticPr fontId="0" type="noConversion"/>
  </si>
  <si>
    <r>
      <t xml:space="preserve">2.1 Title: Amendments to SUN FSK PHY in IEEE Std 802.15.4
Amendment: The higher data rate extension to SUN FSK PHY in IEEE Std 802.15.4
</t>
    </r>
    <r>
      <rPr>
        <sz val="10"/>
        <color rgb="FF7030A0"/>
        <rFont val="Arial"/>
        <family val="2"/>
      </rPr>
      <t xml:space="preserve">
There should be only one title for the Standard amendment. 
</t>
    </r>
    <phoneticPr fontId="0" type="noConversion"/>
  </si>
  <si>
    <r>
      <t>The purpose of this standard is to utilize higher data rate wireless communication for battery powered devices, to provide a global solution initially targeting smart utility and municipal applications requiring secure, high data rate operated in Japan, and</t>
    </r>
    <r>
      <rPr>
        <sz val="10"/>
        <color rgb="FFFF0000"/>
        <rFont val="Arial"/>
        <family val="2"/>
      </rPr>
      <t xml:space="preserve"> long range communication (up to 1000m).</t>
    </r>
    <r>
      <rPr>
        <sz val="10"/>
        <rFont val="Arial"/>
        <family val="2"/>
      </rPr>
      <t xml:space="preserve"> The standard provides access to unlicensed spectrum in Japan; These are also attributes that will be valuable in commercial and business settings, both of which are expected to be significant emerging markets.
</t>
    </r>
    <r>
      <rPr>
        <sz val="10"/>
        <color rgb="FF7030A0"/>
        <rFont val="Arial"/>
        <family val="2"/>
      </rPr>
      <t>Is this amendment plan to include support for long range support as well or mainly planned to support higher data rate operation?</t>
    </r>
    <phoneticPr fontId="0" type="noConversion"/>
  </si>
  <si>
    <t xml:space="preserve">Accept
</t>
    <phoneticPr fontId="0" type="noConversion"/>
  </si>
  <si>
    <t>T</t>
    <phoneticPr fontId="0" type="noConversion"/>
  </si>
  <si>
    <t>The purpose of this standard is to utilize higher data rate wireless communication for battery powered devices, to provide a global solution initially targeting smart utility and municipal applications requiring secure, and high data rate operation in Japan. The standard provides access to unlicensed spectrum in Japan; These are also attributes that will be valuable in commercial and business settings, both of which are expected to be significant emerging markets.</t>
    <phoneticPr fontId="0" type="noConversion"/>
  </si>
  <si>
    <t xml:space="preserve">Revised
</t>
    <phoneticPr fontId="0" type="noConversion"/>
  </si>
  <si>
    <r>
      <t xml:space="preserve">Amendment: The higher data rate extension to SUN FSK PHY in IEEE Std 802.15.4
</t>
    </r>
    <r>
      <rPr>
        <sz val="10"/>
        <color rgb="FF7030A0"/>
        <rFont val="Arial"/>
        <family val="2"/>
      </rPr>
      <t>Match the title with the title of the PAR.</t>
    </r>
    <phoneticPr fontId="0" type="noConversion"/>
  </si>
  <si>
    <t>Revised</t>
    <phoneticPr fontId="0" type="noConversion"/>
  </si>
  <si>
    <t xml:space="preserve">Standard for Low-Rate Wireless Networks
Amendment defining higher data rate extension to IEEE 802.15.4 SUN FSK PHY </t>
    <phoneticPr fontId="0" type="noConversion"/>
  </si>
  <si>
    <t>Need to expand to include “Over The Air (OTA)”</t>
    <phoneticPr fontId="0" type="noConversion"/>
  </si>
  <si>
    <t xml:space="preserve">Update the title to: 
Standard for Low-Rate Wireless Networks
Amendment defining higher data rate extension to IEEE 802.15.4 SUN FSK PHY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</si>
</sst>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dd&quot;, &quot;mmmm\ dd&quot;, &quot;yyyy"/>
  </numFmts>
  <fonts count="15"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b/>
      <i/>
      <sz val="10"/>
      <name val="Arial"/>
      <family val="2"/>
    </font>
    <font>
      <sz val="10"/>
      <name val="Arial"/>
      <family val="2"/>
    </font>
    <font>
      <u/>
      <sz val="10"/>
      <color theme="10"/>
      <name val="Arial"/>
      <family val="2"/>
    </font>
    <font>
      <sz val="10"/>
      <color rgb="FF0000FF"/>
      <name val="Arial"/>
      <family val="2"/>
      <charset val="1"/>
    </font>
    <font>
      <sz val="10"/>
      <color rgb="FFFF0000"/>
      <name val="Arial"/>
      <family val="2"/>
    </font>
    <font>
      <sz val="6"/>
      <name val="ＭＳ Ｐゴシック"/>
      <family val="3"/>
      <charset val="128"/>
    </font>
    <font>
      <b/>
      <sz val="10"/>
      <color rgb="FFFF0000"/>
      <name val="Arial"/>
      <family val="2"/>
    </font>
    <font>
      <strike/>
      <sz val="10"/>
      <color rgb="FFFF0000"/>
      <name val="Arial"/>
      <family val="2"/>
    </font>
    <font>
      <sz val="10"/>
      <color rgb="FF7030A0"/>
      <name val="Arial"/>
      <family val="2"/>
    </font>
  </fonts>
  <fills count="6">
    <fill>
      <patternFill patternType="none"/>
    </fill>
    <fill>
      <patternFill patternType="gray125"/>
    </fill>
    <fill>
      <patternFill patternType="solid">
        <fgColor indexed="13"/>
        <bgColor indexed="3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s>
  <borders count="1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xf numFmtId="0" fontId="8" fillId="0" borderId="0" applyNumberFormat="0" applyFill="0" applyBorder="0" applyAlignment="0" applyProtection="0"/>
  </cellStyleXfs>
  <cellXfs count="78">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4" fillId="0" borderId="0" xfId="1" applyFont="1" applyAlignment="1">
      <alignment horizontal="left"/>
    </xf>
    <xf numFmtId="0" fontId="7"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2"/>
    <xf numFmtId="0" fontId="0" fillId="0" borderId="0" xfId="0" applyAlignment="1">
      <alignment wrapText="1"/>
    </xf>
    <xf numFmtId="0" fontId="0" fillId="0" borderId="0" xfId="0" applyAlignment="1">
      <alignment horizontal="right"/>
    </xf>
    <xf numFmtId="0" fontId="8" fillId="0" borderId="0" xfId="2" applyAlignment="1">
      <alignment wrapText="1"/>
    </xf>
    <xf numFmtId="0" fontId="0" fillId="0" borderId="0" xfId="0" applyAlignment="1">
      <alignment horizontal="center"/>
    </xf>
    <xf numFmtId="0" fontId="9" fillId="0" borderId="0" xfId="0" applyFont="1"/>
    <xf numFmtId="0" fontId="7" fillId="0" borderId="0" xfId="0" applyFont="1" applyAlignment="1">
      <alignment wrapText="1"/>
    </xf>
    <xf numFmtId="0" fontId="0" fillId="0" borderId="0" xfId="0" applyAlignment="1">
      <alignment vertical="top"/>
    </xf>
    <xf numFmtId="0" fontId="8" fillId="0" borderId="0" xfId="2" applyAlignment="1" applyProtection="1">
      <alignment vertical="top"/>
    </xf>
    <xf numFmtId="0" fontId="0" fillId="0" borderId="0" xfId="0" applyAlignment="1">
      <alignment horizontal="right" vertical="top"/>
    </xf>
    <xf numFmtId="0" fontId="0" fillId="0" borderId="0" xfId="0" applyAlignment="1">
      <alignment vertical="top" wrapText="1"/>
    </xf>
    <xf numFmtId="0" fontId="8" fillId="0" borderId="0" xfId="2" applyAlignment="1">
      <alignment vertical="top"/>
    </xf>
    <xf numFmtId="0" fontId="0" fillId="0" borderId="0" xfId="0" quotePrefix="1" applyAlignment="1">
      <alignment horizontal="right" vertical="top"/>
    </xf>
    <xf numFmtId="0" fontId="9" fillId="0" borderId="0" xfId="0" applyFont="1" applyAlignment="1">
      <alignment vertical="top"/>
    </xf>
    <xf numFmtId="0" fontId="0" fillId="0" borderId="0" xfId="0" applyFont="1" applyAlignment="1">
      <alignment vertical="top" wrapText="1"/>
    </xf>
    <xf numFmtId="0" fontId="0" fillId="0" borderId="0" xfId="0" quotePrefix="1"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2" xfId="0" applyFill="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0" fillId="0" borderId="0" xfId="0" applyFill="1" applyAlignment="1">
      <alignment horizontal="left" vertical="top" wrapText="1"/>
    </xf>
    <xf numFmtId="0" fontId="0" fillId="0" borderId="13" xfId="0" applyBorder="1" applyAlignment="1">
      <alignment horizontal="center" vertical="center"/>
    </xf>
    <xf numFmtId="0" fontId="5" fillId="5" borderId="13"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xf>
    <xf numFmtId="0" fontId="8" fillId="0" borderId="0" xfId="2" applyAlignment="1">
      <alignment horizontal="left" vertical="top" wrapText="1"/>
    </xf>
    <xf numFmtId="0" fontId="0" fillId="0" borderId="0" xfId="0" applyFill="1" applyAlignment="1">
      <alignment horizontal="center" vertical="center"/>
    </xf>
    <xf numFmtId="0" fontId="5" fillId="0" borderId="0" xfId="0" applyFont="1" applyFill="1" applyBorder="1" applyAlignment="1">
      <alignment horizontal="left" vertical="top" wrapText="1"/>
    </xf>
    <xf numFmtId="0" fontId="0" fillId="0" borderId="0" xfId="0" applyFill="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top" wrapText="1"/>
    </xf>
    <xf numFmtId="0" fontId="0" fillId="0" borderId="0" xfId="0" applyFill="1" applyAlignment="1">
      <alignment horizontal="center" vertical="center" wrapText="1"/>
    </xf>
    <xf numFmtId="0" fontId="8" fillId="0" borderId="0" xfId="2" applyFill="1" applyAlignment="1">
      <alignment horizontal="left" vertical="top" wrapText="1"/>
    </xf>
    <xf numFmtId="0" fontId="0" fillId="0" borderId="0" xfId="0" applyFill="1"/>
    <xf numFmtId="0" fontId="9" fillId="0" borderId="0" xfId="0" applyFont="1" applyFill="1" applyAlignment="1">
      <alignment horizontal="left" vertical="top" wrapText="1"/>
    </xf>
    <xf numFmtId="0" fontId="7" fillId="0" borderId="0" xfId="2" applyFont="1" applyFill="1" applyAlignment="1">
      <alignment horizontal="left" vertical="top" wrapText="1"/>
    </xf>
    <xf numFmtId="0" fontId="0" fillId="0" borderId="0" xfId="0" applyFont="1" applyFill="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76" fontId="4" fillId="0" borderId="2" xfId="1" applyNumberFormat="1" applyFont="1" applyBorder="1" applyAlignment="1">
      <alignment horizontal="left" vertical="top" wrapText="1"/>
    </xf>
    <xf numFmtId="0" fontId="0" fillId="0" borderId="13"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0" xfId="0" applyFont="1" applyFill="1" applyBorder="1" applyAlignment="1">
      <alignment horizontal="left" vertical="top" wrapText="1"/>
    </xf>
    <xf numFmtId="0" fontId="5" fillId="2" borderId="0" xfId="0" applyFont="1" applyFill="1" applyBorder="1" applyAlignment="1">
      <alignment horizontal="left" vertical="top" wrapText="1"/>
    </xf>
  </cellXfs>
  <cellStyles count="3">
    <cellStyle name="Normal 2" xfId="1"/>
    <cellStyle name="ハイパーリンク" xfId="2" builtinId="8"/>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241300</xdr:colOff>
      <xdr:row>0</xdr:row>
      <xdr:rowOff>101600</xdr:rowOff>
    </xdr:from>
    <xdr:to>
      <xdr:col>26</xdr:col>
      <xdr:colOff>800100</xdr:colOff>
      <xdr:row>24</xdr:row>
      <xdr:rowOff>139700</xdr:rowOff>
    </xdr:to>
    <xdr:pic>
      <xdr:nvPicPr>
        <xdr:cNvPr id="2" name="Picture 1">
          <a:extLst>
            <a:ext uri="{FF2B5EF4-FFF2-40B4-BE49-F238E27FC236}">
              <a16:creationId xmlns="" xmlns:a16="http://schemas.microsoft.com/office/drawing/2014/main" id="{C2B11BEC-64E9-9240-A0E2-9CAC4F9C8741}"/>
            </a:ext>
          </a:extLst>
        </xdr:cNvPr>
        <xdr:cNvPicPr>
          <a:picLocks noChangeAspect="1"/>
        </xdr:cNvPicPr>
      </xdr:nvPicPr>
      <xdr:blipFill>
        <a:blip xmlns:r="http://schemas.openxmlformats.org/officeDocument/2006/relationships" r:embed="rId1"/>
        <a:stretch>
          <a:fillRect/>
        </a:stretch>
      </xdr:blipFill>
      <xdr:spPr>
        <a:xfrm>
          <a:off x="21234400" y="101600"/>
          <a:ext cx="2209800" cy="4152900"/>
        </a:xfrm>
        <a:prstGeom prst="rect">
          <a:avLst/>
        </a:prstGeom>
      </xdr:spPr>
    </xdr:pic>
    <xdr:clientData/>
  </xdr:twoCellAnchor>
  <xdr:twoCellAnchor editAs="oneCell">
    <xdr:from>
      <xdr:col>24</xdr:col>
      <xdr:colOff>558800</xdr:colOff>
      <xdr:row>28</xdr:row>
      <xdr:rowOff>25400</xdr:rowOff>
    </xdr:from>
    <xdr:to>
      <xdr:col>26</xdr:col>
      <xdr:colOff>787400</xdr:colOff>
      <xdr:row>42</xdr:row>
      <xdr:rowOff>114300</xdr:rowOff>
    </xdr:to>
    <xdr:pic>
      <xdr:nvPicPr>
        <xdr:cNvPr id="3" name="Picture 2">
          <a:extLst>
            <a:ext uri="{FF2B5EF4-FFF2-40B4-BE49-F238E27FC236}">
              <a16:creationId xmlns="" xmlns:a16="http://schemas.microsoft.com/office/drawing/2014/main" id="{70AF596B-E0AA-A04A-B437-94563788BBE5}"/>
            </a:ext>
          </a:extLst>
        </xdr:cNvPr>
        <xdr:cNvPicPr>
          <a:picLocks noChangeAspect="1"/>
        </xdr:cNvPicPr>
      </xdr:nvPicPr>
      <xdr:blipFill>
        <a:blip xmlns:r="http://schemas.openxmlformats.org/officeDocument/2006/relationships" r:embed="rId2"/>
        <a:stretch>
          <a:fillRect/>
        </a:stretch>
      </xdr:blipFill>
      <xdr:spPr>
        <a:xfrm>
          <a:off x="21551900" y="4800600"/>
          <a:ext cx="1879600" cy="2451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unal.Shah@itron.com" TargetMode="External"/><Relationship Id="rId3" Type="http://schemas.openxmlformats.org/officeDocument/2006/relationships/hyperlink" Target="mailto:Hendricus.DeRuijter@silabs.com" TargetMode="External"/><Relationship Id="rId7" Type="http://schemas.openxmlformats.org/officeDocument/2006/relationships/hyperlink" Target="mailto:Kunal.Shah@itron.com" TargetMode="External"/><Relationship Id="rId12" Type="http://schemas.openxmlformats.org/officeDocument/2006/relationships/printerSettings" Target="../printerSettings/printerSettings2.bin"/><Relationship Id="rId2" Type="http://schemas.openxmlformats.org/officeDocument/2006/relationships/hyperlink" Target="mailto:Hendricus.DeRuijter@silabs.com" TargetMode="External"/><Relationship Id="rId1" Type="http://schemas.openxmlformats.org/officeDocument/2006/relationships/hyperlink" Target="mailto:Hendricus.DeRuijter@silabs.com" TargetMode="External"/><Relationship Id="rId6" Type="http://schemas.openxmlformats.org/officeDocument/2006/relationships/hyperlink" Target="mailto:Kunal.Shah@itron.com" TargetMode="External"/><Relationship Id="rId11" Type="http://schemas.openxmlformats.org/officeDocument/2006/relationships/hyperlink" Target="mailto:Kunal.Shah@itron.com" TargetMode="External"/><Relationship Id="rId5" Type="http://schemas.openxmlformats.org/officeDocument/2006/relationships/hyperlink" Target="mailto:Hendricus.DeRuijter@silabs.com" TargetMode="External"/><Relationship Id="rId10" Type="http://schemas.openxmlformats.org/officeDocument/2006/relationships/hyperlink" Target="mailto:Kunal.Shah@itron.com" TargetMode="External"/><Relationship Id="rId4" Type="http://schemas.openxmlformats.org/officeDocument/2006/relationships/hyperlink" Target="mailto:Hendricus.DeRuijter@silabs.com" TargetMode="External"/><Relationship Id="rId9" Type="http://schemas.openxmlformats.org/officeDocument/2006/relationships/hyperlink" Target="mailto:Kunal.Shah@itron.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c.woodward@cascoda.com" TargetMode="External"/><Relationship Id="rId18" Type="http://schemas.openxmlformats.org/officeDocument/2006/relationships/hyperlink" Target="mailto:chris.hett@landisgyr.com" TargetMode="External"/><Relationship Id="rId26" Type="http://schemas.openxmlformats.org/officeDocument/2006/relationships/hyperlink" Target="mailto:kivinen@iki.fi" TargetMode="External"/><Relationship Id="rId39" Type="http://schemas.openxmlformats.org/officeDocument/2006/relationships/hyperlink" Target="mailto:kivinen@iki.fi" TargetMode="External"/><Relationship Id="rId21" Type="http://schemas.openxmlformats.org/officeDocument/2006/relationships/hyperlink" Target="mailto:kivinen@iki.fi" TargetMode="External"/><Relationship Id="rId34" Type="http://schemas.openxmlformats.org/officeDocument/2006/relationships/hyperlink" Target="mailto:kivinen@iki.fi" TargetMode="External"/><Relationship Id="rId42" Type="http://schemas.openxmlformats.org/officeDocument/2006/relationships/hyperlink" Target="mailto:kivinen@iki.fi" TargetMode="External"/><Relationship Id="rId47" Type="http://schemas.openxmlformats.org/officeDocument/2006/relationships/hyperlink" Target="mailto:chris.hett@landisgyr.com" TargetMode="External"/><Relationship Id="rId50" Type="http://schemas.openxmlformats.org/officeDocument/2006/relationships/hyperlink" Target="mailto:chris.hett@landisgyr.com" TargetMode="External"/><Relationship Id="rId55" Type="http://schemas.openxmlformats.org/officeDocument/2006/relationships/hyperlink" Target="mailto:chris.hett@landisgyr.com" TargetMode="External"/><Relationship Id="rId63" Type="http://schemas.openxmlformats.org/officeDocument/2006/relationships/hyperlink" Target="mailto:chris.hett@landisgyr.com" TargetMode="External"/><Relationship Id="rId68" Type="http://schemas.openxmlformats.org/officeDocument/2006/relationships/hyperlink" Target="mailto:chris.hett@landisgyr.com" TargetMode="External"/><Relationship Id="rId7" Type="http://schemas.openxmlformats.org/officeDocument/2006/relationships/hyperlink" Target="mailto:sdj@exegin.com" TargetMode="External"/><Relationship Id="rId71" Type="http://schemas.openxmlformats.org/officeDocument/2006/relationships/hyperlink" Target="mailto:chris.hett@landisgyr.com" TargetMode="External"/><Relationship Id="rId2" Type="http://schemas.openxmlformats.org/officeDocument/2006/relationships/hyperlink" Target="mailto:sdj@exegin.com" TargetMode="External"/><Relationship Id="rId16" Type="http://schemas.openxmlformats.org/officeDocument/2006/relationships/hyperlink" Target="mailto:chris.hett@landisgyr.com" TargetMode="External"/><Relationship Id="rId29" Type="http://schemas.openxmlformats.org/officeDocument/2006/relationships/hyperlink" Target="mailto:kivinen@iki.fi" TargetMode="External"/><Relationship Id="rId11" Type="http://schemas.openxmlformats.org/officeDocument/2006/relationships/hyperlink" Target="mailto:sdj@exegin.com" TargetMode="External"/><Relationship Id="rId24" Type="http://schemas.openxmlformats.org/officeDocument/2006/relationships/hyperlink" Target="mailto:kivinen@iki.fi" TargetMode="External"/><Relationship Id="rId32" Type="http://schemas.openxmlformats.org/officeDocument/2006/relationships/hyperlink" Target="mailto:kivinen@iki.fi" TargetMode="External"/><Relationship Id="rId37" Type="http://schemas.openxmlformats.org/officeDocument/2006/relationships/hyperlink" Target="mailto:kivinen@iki.fi" TargetMode="External"/><Relationship Id="rId40" Type="http://schemas.openxmlformats.org/officeDocument/2006/relationships/hyperlink" Target="mailto:kivinen@iki.fi" TargetMode="External"/><Relationship Id="rId45" Type="http://schemas.openxmlformats.org/officeDocument/2006/relationships/hyperlink" Target="mailto:kivinen@iki.fi" TargetMode="External"/><Relationship Id="rId53" Type="http://schemas.openxmlformats.org/officeDocument/2006/relationships/hyperlink" Target="mailto:chris.hett@landisgyr.com" TargetMode="External"/><Relationship Id="rId58" Type="http://schemas.openxmlformats.org/officeDocument/2006/relationships/hyperlink" Target="mailto:chris.hett@landisgyr.com" TargetMode="External"/><Relationship Id="rId66" Type="http://schemas.openxmlformats.org/officeDocument/2006/relationships/hyperlink" Target="mailto:chris.hett@landisgyr.com" TargetMode="External"/><Relationship Id="rId74" Type="http://schemas.openxmlformats.org/officeDocument/2006/relationships/hyperlink" Target="mailto:chris.hett@landisgyr.com" TargetMode="External"/><Relationship Id="rId5" Type="http://schemas.openxmlformats.org/officeDocument/2006/relationships/hyperlink" Target="mailto:sdj@exegin.com" TargetMode="External"/><Relationship Id="rId15" Type="http://schemas.openxmlformats.org/officeDocument/2006/relationships/hyperlink" Target="mailto:chris.hett@landisgyr.com" TargetMode="External"/><Relationship Id="rId23" Type="http://schemas.openxmlformats.org/officeDocument/2006/relationships/hyperlink" Target="mailto:kivinen@iki.fi" TargetMode="External"/><Relationship Id="rId28" Type="http://schemas.openxmlformats.org/officeDocument/2006/relationships/hyperlink" Target="mailto:kivinen@iki.fi" TargetMode="External"/><Relationship Id="rId36" Type="http://schemas.openxmlformats.org/officeDocument/2006/relationships/hyperlink" Target="mailto:kivinen@iki.fi" TargetMode="External"/><Relationship Id="rId49" Type="http://schemas.openxmlformats.org/officeDocument/2006/relationships/hyperlink" Target="mailto:chris.hett@landisgyr.com" TargetMode="External"/><Relationship Id="rId57" Type="http://schemas.openxmlformats.org/officeDocument/2006/relationships/hyperlink" Target="mailto:chris.hett@landisgyr.com" TargetMode="External"/><Relationship Id="rId61" Type="http://schemas.openxmlformats.org/officeDocument/2006/relationships/hyperlink" Target="mailto:chris.hett@landisgyr.com" TargetMode="External"/><Relationship Id="rId10" Type="http://schemas.openxmlformats.org/officeDocument/2006/relationships/hyperlink" Target="mailto:sdj@exegin.com" TargetMode="External"/><Relationship Id="rId19" Type="http://schemas.openxmlformats.org/officeDocument/2006/relationships/hyperlink" Target="mailto:kivinen@iki.fi" TargetMode="External"/><Relationship Id="rId31" Type="http://schemas.openxmlformats.org/officeDocument/2006/relationships/hyperlink" Target="mailto:kivinen@iki.fi" TargetMode="External"/><Relationship Id="rId44" Type="http://schemas.openxmlformats.org/officeDocument/2006/relationships/hyperlink" Target="mailto:kivinen@iki.fi" TargetMode="External"/><Relationship Id="rId52" Type="http://schemas.openxmlformats.org/officeDocument/2006/relationships/hyperlink" Target="mailto:chris.hett@landisgyr.com" TargetMode="External"/><Relationship Id="rId60" Type="http://schemas.openxmlformats.org/officeDocument/2006/relationships/hyperlink" Target="mailto:chris.hett@landisgyr.com" TargetMode="External"/><Relationship Id="rId65" Type="http://schemas.openxmlformats.org/officeDocument/2006/relationships/hyperlink" Target="mailto:chris.hett@landisgyr.com" TargetMode="External"/><Relationship Id="rId73" Type="http://schemas.openxmlformats.org/officeDocument/2006/relationships/hyperlink" Target="mailto:chris.hett@landisgyr.com" TargetMode="External"/><Relationship Id="rId4" Type="http://schemas.openxmlformats.org/officeDocument/2006/relationships/hyperlink" Target="mailto:sdj@exegin.com" TargetMode="External"/><Relationship Id="rId9" Type="http://schemas.openxmlformats.org/officeDocument/2006/relationships/hyperlink" Target="mailto:sdj@exegin.com" TargetMode="External"/><Relationship Id="rId14" Type="http://schemas.openxmlformats.org/officeDocument/2006/relationships/hyperlink" Target="mailto:chris.hett@landisgyr.com" TargetMode="External"/><Relationship Id="rId22" Type="http://schemas.openxmlformats.org/officeDocument/2006/relationships/hyperlink" Target="mailto:kivinen@iki.fi" TargetMode="External"/><Relationship Id="rId27" Type="http://schemas.openxmlformats.org/officeDocument/2006/relationships/hyperlink" Target="mailto:kivinen@iki.fi" TargetMode="External"/><Relationship Id="rId30" Type="http://schemas.openxmlformats.org/officeDocument/2006/relationships/hyperlink" Target="mailto:kivinen@iki.fi" TargetMode="External"/><Relationship Id="rId35" Type="http://schemas.openxmlformats.org/officeDocument/2006/relationships/hyperlink" Target="mailto:kivinen@iki.fi" TargetMode="External"/><Relationship Id="rId43" Type="http://schemas.openxmlformats.org/officeDocument/2006/relationships/hyperlink" Target="mailto:kivinen@iki.fi" TargetMode="External"/><Relationship Id="rId48" Type="http://schemas.openxmlformats.org/officeDocument/2006/relationships/hyperlink" Target="mailto:chris.hett@landisgyr.com" TargetMode="External"/><Relationship Id="rId56" Type="http://schemas.openxmlformats.org/officeDocument/2006/relationships/hyperlink" Target="mailto:chris.hett@landisgyr.com" TargetMode="External"/><Relationship Id="rId64" Type="http://schemas.openxmlformats.org/officeDocument/2006/relationships/hyperlink" Target="mailto:chris.hett@landisgyr.com" TargetMode="External"/><Relationship Id="rId69" Type="http://schemas.openxmlformats.org/officeDocument/2006/relationships/hyperlink" Target="mailto:chris.hett@landisgyr.com" TargetMode="External"/><Relationship Id="rId8" Type="http://schemas.openxmlformats.org/officeDocument/2006/relationships/hyperlink" Target="mailto:sdj@exegin.com" TargetMode="External"/><Relationship Id="rId51" Type="http://schemas.openxmlformats.org/officeDocument/2006/relationships/hyperlink" Target="mailto:chris.hett@landisgyr.com" TargetMode="External"/><Relationship Id="rId72" Type="http://schemas.openxmlformats.org/officeDocument/2006/relationships/hyperlink" Target="mailto:chris.hett@landisgyr.com" TargetMode="External"/><Relationship Id="rId3" Type="http://schemas.openxmlformats.org/officeDocument/2006/relationships/hyperlink" Target="mailto:sdj@exegin.com" TargetMode="External"/><Relationship Id="rId12" Type="http://schemas.openxmlformats.org/officeDocument/2006/relationships/hyperlink" Target="mailto:sdj@exegin.com" TargetMode="External"/><Relationship Id="rId17" Type="http://schemas.openxmlformats.org/officeDocument/2006/relationships/hyperlink" Target="mailto:chris.hett@landisgyr.com" TargetMode="External"/><Relationship Id="rId25" Type="http://schemas.openxmlformats.org/officeDocument/2006/relationships/hyperlink" Target="mailto:kivinen@iki.fi" TargetMode="External"/><Relationship Id="rId33" Type="http://schemas.openxmlformats.org/officeDocument/2006/relationships/hyperlink" Target="mailto:kivinen@iki.fi" TargetMode="External"/><Relationship Id="rId38" Type="http://schemas.openxmlformats.org/officeDocument/2006/relationships/hyperlink" Target="mailto:kivinen@iki.fi" TargetMode="External"/><Relationship Id="rId46" Type="http://schemas.openxmlformats.org/officeDocument/2006/relationships/hyperlink" Target="mailto:chris.hett@landisgyr.com" TargetMode="External"/><Relationship Id="rId59" Type="http://schemas.openxmlformats.org/officeDocument/2006/relationships/hyperlink" Target="mailto:chris.hett@landisgyr.com" TargetMode="External"/><Relationship Id="rId67" Type="http://schemas.openxmlformats.org/officeDocument/2006/relationships/hyperlink" Target="mailto:chris.hett@landisgyr.com" TargetMode="External"/><Relationship Id="rId20" Type="http://schemas.openxmlformats.org/officeDocument/2006/relationships/hyperlink" Target="mailto:kivinen@iki.fi" TargetMode="External"/><Relationship Id="rId41" Type="http://schemas.openxmlformats.org/officeDocument/2006/relationships/hyperlink" Target="mailto:kivinen@iki.fi" TargetMode="External"/><Relationship Id="rId54" Type="http://schemas.openxmlformats.org/officeDocument/2006/relationships/hyperlink" Target="mailto:chris.hett@landisgyr.com" TargetMode="External"/><Relationship Id="rId62" Type="http://schemas.openxmlformats.org/officeDocument/2006/relationships/hyperlink" Target="mailto:chris.hett@landisgyr.com" TargetMode="External"/><Relationship Id="rId70" Type="http://schemas.openxmlformats.org/officeDocument/2006/relationships/hyperlink" Target="mailto:chris.hett@landisgyr.com" TargetMode="External"/><Relationship Id="rId1" Type="http://schemas.openxmlformats.org/officeDocument/2006/relationships/hyperlink" Target="mailto:honarbacht@ubisys.de" TargetMode="External"/><Relationship Id="rId6" Type="http://schemas.openxmlformats.org/officeDocument/2006/relationships/hyperlink" Target="mailto:sdj@exeg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10" workbookViewId="0">
      <selection activeCell="B4" sqref="B4"/>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137</v>
      </c>
      <c r="C1" s="3"/>
      <c r="D1" s="4" t="s">
        <v>123</v>
      </c>
    </row>
    <row r="3" spans="2:4" ht="18.75" x14ac:dyDescent="0.3">
      <c r="C3" s="5" t="s">
        <v>0</v>
      </c>
    </row>
    <row r="4" spans="2:4" ht="18.75" x14ac:dyDescent="0.3">
      <c r="C4" s="5" t="s">
        <v>22</v>
      </c>
    </row>
    <row r="5" spans="2:4" ht="18.75" x14ac:dyDescent="0.3">
      <c r="B5" s="5"/>
    </row>
    <row r="6" spans="2:4" ht="14.85" customHeight="1" x14ac:dyDescent="0.2">
      <c r="B6" s="6" t="s">
        <v>1</v>
      </c>
      <c r="C6" s="67" t="s">
        <v>23</v>
      </c>
      <c r="D6" s="67"/>
    </row>
    <row r="7" spans="2:4" ht="17.25" customHeight="1" x14ac:dyDescent="0.2">
      <c r="B7" s="6" t="s">
        <v>2</v>
      </c>
      <c r="C7" s="68" t="s">
        <v>116</v>
      </c>
      <c r="D7" s="68"/>
    </row>
    <row r="8" spans="2:4" ht="15.75" x14ac:dyDescent="0.2">
      <c r="B8" s="6" t="s">
        <v>164</v>
      </c>
      <c r="C8" s="69">
        <v>44026</v>
      </c>
      <c r="D8" s="69"/>
    </row>
    <row r="9" spans="2:4" ht="14.85" customHeight="1" x14ac:dyDescent="0.2">
      <c r="B9" s="67" t="s">
        <v>3</v>
      </c>
      <c r="C9" s="6" t="s">
        <v>117</v>
      </c>
      <c r="D9" s="6" t="s">
        <v>118</v>
      </c>
    </row>
    <row r="10" spans="2:4" ht="15.75" x14ac:dyDescent="0.2">
      <c r="B10" s="67"/>
      <c r="C10" s="8" t="s">
        <v>119</v>
      </c>
      <c r="D10" s="8"/>
    </row>
    <row r="11" spans="2:4" ht="15.75" x14ac:dyDescent="0.2">
      <c r="B11" s="67"/>
      <c r="C11" s="8" t="s">
        <v>120</v>
      </c>
      <c r="D11" s="8" t="s">
        <v>121</v>
      </c>
    </row>
    <row r="12" spans="2:4" ht="15.75" x14ac:dyDescent="0.2">
      <c r="B12" s="67"/>
      <c r="C12" s="9"/>
      <c r="D12" s="10"/>
    </row>
    <row r="13" spans="2:4" ht="14.85" customHeight="1" x14ac:dyDescent="0.25">
      <c r="B13" s="67" t="s">
        <v>4</v>
      </c>
      <c r="C13" s="11"/>
      <c r="D13" s="6"/>
    </row>
    <row r="14" spans="2:4" ht="15.75" x14ac:dyDescent="0.25">
      <c r="B14" s="67"/>
      <c r="C14" s="12"/>
    </row>
    <row r="15" spans="2:4" ht="14.85" customHeight="1" x14ac:dyDescent="0.2">
      <c r="B15" s="6" t="s">
        <v>5</v>
      </c>
      <c r="C15" s="67" t="s">
        <v>122</v>
      </c>
      <c r="D15" s="67"/>
    </row>
    <row r="16" spans="2:4" s="13" customFormat="1" ht="54.75" customHeight="1" x14ac:dyDescent="0.2">
      <c r="B16" s="6" t="s">
        <v>6</v>
      </c>
      <c r="C16" s="67" t="s">
        <v>136</v>
      </c>
      <c r="D16" s="67"/>
    </row>
    <row r="17" spans="2:4" s="13" customFormat="1" ht="84" customHeight="1" x14ac:dyDescent="0.2">
      <c r="B17" s="7" t="s">
        <v>7</v>
      </c>
      <c r="C17" s="67" t="s">
        <v>8</v>
      </c>
      <c r="D17" s="67"/>
    </row>
    <row r="18" spans="2:4" s="13" customFormat="1" ht="36.75" customHeight="1" x14ac:dyDescent="0.2">
      <c r="B18" s="9" t="s">
        <v>9</v>
      </c>
      <c r="C18" s="67" t="s">
        <v>10</v>
      </c>
      <c r="D18" s="6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34"/>
  <sheetViews>
    <sheetView topLeftCell="A3" zoomScale="130" zoomScaleNormal="130" workbookViewId="0">
      <selection activeCell="D46" sqref="D46"/>
    </sheetView>
  </sheetViews>
  <sheetFormatPr defaultColWidth="11.42578125" defaultRowHeight="12.75" x14ac:dyDescent="0.2"/>
  <cols>
    <col min="3" max="3" width="15" bestFit="1" customWidth="1"/>
    <col min="4" max="4" width="13.42578125" bestFit="1" customWidth="1"/>
    <col min="5" max="5" width="12.85546875" bestFit="1" customWidth="1"/>
    <col min="6" max="6" width="9.140625" bestFit="1" customWidth="1"/>
    <col min="8" max="8" width="15" bestFit="1" customWidth="1"/>
    <col min="13" max="13" width="15" bestFit="1" customWidth="1"/>
  </cols>
  <sheetData>
    <row r="4" spans="2:14" ht="13.5" thickBot="1" x14ac:dyDescent="0.25"/>
    <row r="5" spans="2:14" ht="13.5" thickBot="1" x14ac:dyDescent="0.25">
      <c r="B5" s="73" t="s">
        <v>93</v>
      </c>
      <c r="C5" s="74"/>
      <c r="D5" s="74"/>
      <c r="E5" s="75"/>
      <c r="G5" s="73" t="s">
        <v>94</v>
      </c>
      <c r="H5" s="74"/>
      <c r="I5" s="74"/>
      <c r="J5" s="75"/>
      <c r="L5" s="73" t="s">
        <v>97</v>
      </c>
      <c r="M5" s="74"/>
      <c r="N5" s="75"/>
    </row>
    <row r="6" spans="2:14" ht="13.5" thickBot="1" x14ac:dyDescent="0.25">
      <c r="B6" s="40"/>
      <c r="C6" s="41" t="s">
        <v>87</v>
      </c>
      <c r="D6" s="41" t="s">
        <v>88</v>
      </c>
      <c r="E6" s="42" t="s">
        <v>92</v>
      </c>
      <c r="G6" s="40"/>
      <c r="H6" s="43" t="s">
        <v>87</v>
      </c>
      <c r="I6" s="43" t="s">
        <v>88</v>
      </c>
      <c r="J6" s="44" t="s">
        <v>92</v>
      </c>
      <c r="L6" s="40"/>
      <c r="M6" s="41" t="s">
        <v>87</v>
      </c>
      <c r="N6" s="42" t="s">
        <v>88</v>
      </c>
    </row>
    <row r="7" spans="2:14" x14ac:dyDescent="0.2">
      <c r="B7" s="37" t="s">
        <v>89</v>
      </c>
      <c r="C7" s="38">
        <f>COUNTIFS(Comments!K2:K82, "E",Comments!O2:O82, "Accept")</f>
        <v>0</v>
      </c>
      <c r="D7" s="38">
        <f>COUNTIFS(Comments!K2:K82, "T",Comments!O2:O82,"Accept")</f>
        <v>0</v>
      </c>
      <c r="E7" s="39">
        <f>SUM(C7:D7)</f>
        <v>0</v>
      </c>
      <c r="G7" s="37" t="s">
        <v>89</v>
      </c>
      <c r="H7" s="38">
        <f>COUNTIFS('Rogue Comments'!J2:J85, "E", 'Rogue Comments'!M2:M85, "Accept")</f>
        <v>0</v>
      </c>
      <c r="I7" s="38">
        <f>COUNTIFS('Rogue Comments'!J2:J85, "T", 'Rogue Comments'!M2:M85, "Accept")</f>
        <v>0</v>
      </c>
      <c r="J7" s="39">
        <f>SUM(H7:I7)</f>
        <v>0</v>
      </c>
      <c r="L7" s="37" t="s">
        <v>89</v>
      </c>
      <c r="M7" s="38">
        <f t="shared" ref="M7:N12" si="0">SUM(C7+H7)</f>
        <v>0</v>
      </c>
      <c r="N7" s="39">
        <f t="shared" si="0"/>
        <v>0</v>
      </c>
    </row>
    <row r="8" spans="2:14" x14ac:dyDescent="0.2">
      <c r="B8" s="37" t="s">
        <v>63</v>
      </c>
      <c r="C8" s="38">
        <f>COUNTIFS(Comments!K2:K22,"E",Comments!O2:O22,"Revised")</f>
        <v>7</v>
      </c>
      <c r="D8" s="38">
        <f>COUNTIFS(Comments!K2:K82, "T",Comments!O2:O82, "Revised")</f>
        <v>0</v>
      </c>
      <c r="E8" s="39">
        <f t="shared" ref="E8:E13" si="1">SUM(C8:D8)</f>
        <v>7</v>
      </c>
      <c r="G8" s="37" t="s">
        <v>63</v>
      </c>
      <c r="H8" s="38">
        <f>COUNTIFS('Rogue Comments'!J2:J85, "E", 'Rogue Comments'!M2:M85, "Revised")</f>
        <v>0</v>
      </c>
      <c r="I8" s="38">
        <f>COUNTIFS('Rogue Comments'!J2:J85, "T", 'Rogue Comments'!M2:M85, "Revised")</f>
        <v>0</v>
      </c>
      <c r="J8" s="39">
        <f t="shared" ref="J8:J13" si="2">SUM(H8:I8)</f>
        <v>0</v>
      </c>
      <c r="L8" s="37" t="s">
        <v>63</v>
      </c>
      <c r="M8" s="38">
        <f t="shared" si="0"/>
        <v>7</v>
      </c>
      <c r="N8" s="39">
        <f t="shared" si="0"/>
        <v>0</v>
      </c>
    </row>
    <row r="9" spans="2:14" x14ac:dyDescent="0.2">
      <c r="B9" s="37" t="s">
        <v>90</v>
      </c>
      <c r="C9" s="38">
        <f>COUNTIFS(Comments!K4:K22,"E",Comments!O4:O22,"Reject")</f>
        <v>0</v>
      </c>
      <c r="D9" s="38">
        <f>COUNTIFS(Comments!K4:K22,"T",Comments!O4:O22,"Reject")</f>
        <v>0</v>
      </c>
      <c r="E9" s="39">
        <f t="shared" si="1"/>
        <v>0</v>
      </c>
      <c r="G9" s="37" t="s">
        <v>90</v>
      </c>
      <c r="H9" s="38">
        <f>COUNTIFS('Rogue Comments'!J2:J102, "E", 'Rogue Comments'!M2:M102, "Reject")</f>
        <v>0</v>
      </c>
      <c r="I9" s="38">
        <f>COUNTIFS('Rogue Comments'!J2:J85, "T", 'Rogue Comments'!M2:M85, "Reject")</f>
        <v>0</v>
      </c>
      <c r="J9" s="39">
        <f t="shared" si="2"/>
        <v>0</v>
      </c>
      <c r="L9" s="37" t="s">
        <v>90</v>
      </c>
      <c r="M9" s="38">
        <f t="shared" si="0"/>
        <v>0</v>
      </c>
      <c r="N9" s="39">
        <f t="shared" si="0"/>
        <v>0</v>
      </c>
    </row>
    <row r="10" spans="2:14" x14ac:dyDescent="0.2">
      <c r="B10" s="37" t="s">
        <v>91</v>
      </c>
      <c r="C10" s="38">
        <f>COUNTIFS(Comments!K4:K22,"E",Comments!O4:O22,"Withdrawn")</f>
        <v>0</v>
      </c>
      <c r="D10" s="38">
        <f>COUNTIFS(Comments!K4:K22,"T",Comments!O4:O22,"Withdrawn")</f>
        <v>0</v>
      </c>
      <c r="E10" s="39">
        <f t="shared" si="1"/>
        <v>0</v>
      </c>
      <c r="G10" s="37" t="s">
        <v>91</v>
      </c>
      <c r="H10" s="38">
        <f>COUNTIFS('Rogue Comments'!J2:J103, "E", 'Rogue Comments'!M2:M103, "Withdrawn")</f>
        <v>0</v>
      </c>
      <c r="I10" s="38">
        <f>COUNTIFS('Rogue Comments'!J2:J85, "T", 'Rogue Comments'!M2:M85, "Withdrawn")</f>
        <v>0</v>
      </c>
      <c r="J10" s="39">
        <f t="shared" si="2"/>
        <v>0</v>
      </c>
      <c r="L10" s="37" t="s">
        <v>91</v>
      </c>
      <c r="M10" s="38">
        <f t="shared" si="0"/>
        <v>0</v>
      </c>
      <c r="N10" s="39">
        <f t="shared" si="0"/>
        <v>0</v>
      </c>
    </row>
    <row r="11" spans="2:14" x14ac:dyDescent="0.2">
      <c r="B11" s="37" t="s">
        <v>73</v>
      </c>
      <c r="C11" s="38">
        <f>COUNTIFS(Comments!K4:K22,"E",Comments!O4:O22,"Defer")</f>
        <v>0</v>
      </c>
      <c r="D11" s="48">
        <f>COUNTIFS(Comments!K4:K22,"T",Comments!O4:O22,"Defer")</f>
        <v>0</v>
      </c>
      <c r="E11" s="39">
        <f t="shared" si="1"/>
        <v>0</v>
      </c>
      <c r="G11" s="37" t="s">
        <v>73</v>
      </c>
      <c r="H11" s="38">
        <f>COUNTIFS('Rogue Comments'!J2:J104, "E", 'Rogue Comments'!M2:M104, "Defer")</f>
        <v>0</v>
      </c>
      <c r="I11" s="48">
        <f>COUNTIFS('Rogue Comments'!J2:J85, "T", 'Rogue Comments'!M2:M85, "Defer")</f>
        <v>0</v>
      </c>
      <c r="J11" s="39">
        <f t="shared" si="2"/>
        <v>0</v>
      </c>
      <c r="L11" s="37" t="s">
        <v>73</v>
      </c>
      <c r="M11" s="38">
        <f t="shared" si="0"/>
        <v>0</v>
      </c>
      <c r="N11" s="49">
        <f t="shared" si="0"/>
        <v>0</v>
      </c>
    </row>
    <row r="12" spans="2:14" ht="13.5" thickBot="1" x14ac:dyDescent="0.25">
      <c r="B12" s="37" t="s">
        <v>96</v>
      </c>
      <c r="C12" s="38">
        <f>COUNTIFS(Comments!K4:K22,"E",Comments!O4:O22,"")</f>
        <v>0</v>
      </c>
      <c r="D12" s="38">
        <f>COUNTIFS(Comments!K4:K22,"T",Comments!O4:O22,"")</f>
        <v>0</v>
      </c>
      <c r="E12" s="39">
        <f t="shared" si="1"/>
        <v>0</v>
      </c>
      <c r="G12" s="37" t="s">
        <v>96</v>
      </c>
      <c r="H12" s="38">
        <f>COUNTIFS('Rogue Comments'!J2:J105, "E", 'Rogue Comments'!M2:M105, "")</f>
        <v>0</v>
      </c>
      <c r="I12" s="48">
        <f>COUNTIFS('Rogue Comments'!J2:J85, "T", 'Rogue Comments'!M2:M85, "")</f>
        <v>0</v>
      </c>
      <c r="J12" s="39">
        <f t="shared" si="2"/>
        <v>0</v>
      </c>
      <c r="L12" s="37" t="s">
        <v>96</v>
      </c>
      <c r="M12" s="38">
        <f t="shared" si="0"/>
        <v>0</v>
      </c>
      <c r="N12" s="49">
        <f t="shared" si="0"/>
        <v>0</v>
      </c>
    </row>
    <row r="13" spans="2:14" ht="13.5" thickBot="1" x14ac:dyDescent="0.25">
      <c r="B13" s="36" t="s">
        <v>92</v>
      </c>
      <c r="C13" s="46">
        <f>SUM(C7:C12)</f>
        <v>7</v>
      </c>
      <c r="D13" s="46">
        <f>SUM(D7:D12)</f>
        <v>0</v>
      </c>
      <c r="E13" s="45">
        <f t="shared" si="1"/>
        <v>7</v>
      </c>
      <c r="G13" s="36" t="s">
        <v>92</v>
      </c>
      <c r="H13" s="46">
        <f>SUM(H7:H12)</f>
        <v>0</v>
      </c>
      <c r="I13" s="46">
        <f>SUM(I7:I12)</f>
        <v>0</v>
      </c>
      <c r="J13" s="45">
        <f t="shared" si="2"/>
        <v>0</v>
      </c>
      <c r="L13" s="36" t="s">
        <v>92</v>
      </c>
      <c r="M13" s="46">
        <f>SUM(M7:M12)</f>
        <v>7</v>
      </c>
      <c r="N13" s="45">
        <f>SUM(N7:N12)</f>
        <v>0</v>
      </c>
    </row>
    <row r="14" spans="2:14" ht="13.5" thickBot="1" x14ac:dyDescent="0.25">
      <c r="L14" s="47" t="s">
        <v>95</v>
      </c>
      <c r="M14" s="71">
        <f>SUM(M13:N13)</f>
        <v>7</v>
      </c>
      <c r="N14" s="72"/>
    </row>
    <row r="16" spans="2:14" ht="13.5" thickBot="1" x14ac:dyDescent="0.25"/>
    <row r="17" spans="3:19" ht="13.5" thickBot="1" x14ac:dyDescent="0.25">
      <c r="C17" s="73" t="s">
        <v>108</v>
      </c>
      <c r="D17" s="74"/>
      <c r="E17" s="74"/>
      <c r="F17" s="75"/>
    </row>
    <row r="18" spans="3:19" ht="13.5" thickBot="1" x14ac:dyDescent="0.25">
      <c r="C18" s="40"/>
      <c r="D18" s="40" t="s">
        <v>88</v>
      </c>
      <c r="E18" s="44" t="s">
        <v>104</v>
      </c>
      <c r="F18" s="44" t="s">
        <v>96</v>
      </c>
    </row>
    <row r="19" spans="3:19" ht="13.5" thickBot="1" x14ac:dyDescent="0.25">
      <c r="C19" s="37" t="s">
        <v>98</v>
      </c>
      <c r="D19" s="38">
        <f>COUNTIFS(Comments!K2:K93, "T",Comments!N2:N93,"Band designation")</f>
        <v>0</v>
      </c>
      <c r="E19" s="38">
        <f>COUNTIFS(Comments!K2:K93, "T",Comments!N2:N93,"Band designation", Comments!S2:S93, "C")</f>
        <v>0</v>
      </c>
      <c r="F19" s="39">
        <f>COUNTIFS(Comments!K2:K93, "T",Comments!N2:N93,"Band designation", Comments!S2:S93, "O")</f>
        <v>0</v>
      </c>
      <c r="P19" s="51"/>
      <c r="Q19" s="52" t="s">
        <v>111</v>
      </c>
      <c r="R19" s="52" t="s">
        <v>88</v>
      </c>
      <c r="S19" s="52" t="s">
        <v>96</v>
      </c>
    </row>
    <row r="20" spans="3:19" ht="13.5" thickBot="1" x14ac:dyDescent="0.25">
      <c r="C20" s="37" t="s">
        <v>54</v>
      </c>
      <c r="D20" s="38">
        <f>COUNTIFS(Comments!K2:K94, "T",Comments!N2:N94,"CCA")</f>
        <v>0</v>
      </c>
      <c r="E20" s="38">
        <f>COUNTIFS(Comments!K2:K94, "T",Comments!N2:N94,"CCA", Comments!S2:S94, "C")</f>
        <v>0</v>
      </c>
      <c r="F20" s="39">
        <f>COUNTIFS(Comments!K2:K94, "T",Comments!N2:N94,"CCA", Comments!S2:S94, "O")</f>
        <v>0</v>
      </c>
      <c r="H20" s="73" t="s">
        <v>109</v>
      </c>
      <c r="I20" s="74"/>
      <c r="J20" s="74"/>
      <c r="K20" s="75"/>
      <c r="P20" s="52" t="s">
        <v>110</v>
      </c>
      <c r="Q20" s="51">
        <v>108</v>
      </c>
      <c r="R20" s="51">
        <f>D13</f>
        <v>0</v>
      </c>
      <c r="S20" s="51">
        <f>D11+D12</f>
        <v>0</v>
      </c>
    </row>
    <row r="21" spans="3:19" ht="13.5" thickBot="1" x14ac:dyDescent="0.25">
      <c r="C21" s="37" t="s">
        <v>55</v>
      </c>
      <c r="D21" s="38">
        <f>COUNTIFS(Comments!K2:K95, "T",Comments!N2:N95,"MAC Commands")</f>
        <v>0</v>
      </c>
      <c r="E21" s="38">
        <f>COUNTIFS(Comments!K2:K95, "T",Comments!N2:N95,"MAC Commands", Comments!S2:S95, "C")</f>
        <v>0</v>
      </c>
      <c r="F21" s="39">
        <f>COUNTIFS(Comments!K2:K95, "T",Comments!N2:N95,"MAC Commands", Comments!S2:S95, "O")</f>
        <v>0</v>
      </c>
      <c r="H21" s="40"/>
      <c r="I21" s="40" t="s">
        <v>88</v>
      </c>
      <c r="J21" s="44" t="s">
        <v>104</v>
      </c>
      <c r="K21" s="44" t="s">
        <v>96</v>
      </c>
      <c r="P21" s="52" t="s">
        <v>112</v>
      </c>
      <c r="Q21" s="51">
        <v>37</v>
      </c>
      <c r="R21" s="51">
        <f>I13</f>
        <v>0</v>
      </c>
      <c r="S21" s="51">
        <f>SUM(I11:I12)</f>
        <v>0</v>
      </c>
    </row>
    <row r="22" spans="3:19" x14ac:dyDescent="0.2">
      <c r="C22" s="37" t="s">
        <v>49</v>
      </c>
      <c r="D22" s="38">
        <f>COUNTIFS(Comments!K2:K96, "T",Comments!N2:N96,"MAC Frame")</f>
        <v>0</v>
      </c>
      <c r="E22" s="38">
        <f>COUNTIFS(Comments!K2:K96, "T",Comments!N2:N96,"MAC Frame", Comments!S2:S96, "C")</f>
        <v>0</v>
      </c>
      <c r="F22" s="39">
        <f>COUNTIFS(Comments!K2:K96, "T",Comments!N2:N96,"MAC Frame", Comments!S2:S96, "O")</f>
        <v>0</v>
      </c>
      <c r="H22" s="37" t="s">
        <v>59</v>
      </c>
      <c r="I22" s="38">
        <f>COUNTIFS('Rogue Comments'!J2:J100, "T", 'Rogue Comments'!L2:L100,"CSL")</f>
        <v>0</v>
      </c>
      <c r="J22" s="38">
        <f>COUNTIFS('Rogue Comments'!J2:J100, "T", 'Rogue Comments'!L2:L100,"CSL", 'Rogue Comments'!P2:P100, "C")</f>
        <v>0</v>
      </c>
      <c r="K22" s="39">
        <f>COUNTIFS('Rogue Comments'!J2:J100, "T", 'Rogue Comments'!L2:L100,"CSL", 'Rogue Comments'!P2:P100, "O")</f>
        <v>0</v>
      </c>
      <c r="P22" s="52" t="s">
        <v>92</v>
      </c>
      <c r="Q22" s="51">
        <f>SUM(Q20:Q21)</f>
        <v>145</v>
      </c>
      <c r="R22" s="51">
        <f>SUM(R20:R21)</f>
        <v>0</v>
      </c>
      <c r="S22" s="53">
        <f>SUM(S20:S21)</f>
        <v>0</v>
      </c>
    </row>
    <row r="23" spans="3:19" x14ac:dyDescent="0.2">
      <c r="C23" s="37" t="s">
        <v>50</v>
      </c>
      <c r="D23" s="38">
        <f>COUNTIFS(Comments!K2:K97, "T",Comments!N2:N97,"MAC IE")</f>
        <v>0</v>
      </c>
      <c r="E23" s="38">
        <f>COUNTIFS(Comments!K2:K97, "T",Comments!N2:N97,"MAC IE", Comments!S2:S97, "C")</f>
        <v>0</v>
      </c>
      <c r="F23" s="39">
        <f>COUNTIFS(Comments!K2:K97, "T",Comments!N2:N97,"MAC IE", Comments!S2:S97, "O")</f>
        <v>0</v>
      </c>
      <c r="H23" s="37" t="s">
        <v>50</v>
      </c>
      <c r="I23" s="38">
        <f>COUNTIFS('Rogue Comments'!J2:J100, "T", 'Rogue Comments'!L2:L100,"MAC IE")</f>
        <v>0</v>
      </c>
      <c r="J23" s="38">
        <f>COUNTIFS('Rogue Comments'!J2:J100, "T", 'Rogue Comments'!L2:L100,"MAC IE", 'Rogue Comments'!P2:P100, "C")</f>
        <v>0</v>
      </c>
      <c r="K23" s="39">
        <f>COUNTIFS('Rogue Comments'!J2:J100, "T", 'Rogue Comments'!L2:L100,"MAC IE", 'Rogue Comments'!P2:P100, "O")</f>
        <v>0</v>
      </c>
      <c r="P23" s="52" t="s">
        <v>95</v>
      </c>
      <c r="Q23" s="70">
        <f>SUM(Q22:R22)</f>
        <v>145</v>
      </c>
      <c r="R23" s="70"/>
      <c r="S23" s="54">
        <f>S22</f>
        <v>0</v>
      </c>
    </row>
    <row r="24" spans="3:19" x14ac:dyDescent="0.2">
      <c r="C24" s="37" t="s">
        <v>99</v>
      </c>
      <c r="D24" s="38">
        <f>COUNTIFS(Comments!K2:K98, "T",Comments!N2:N98,"MAC primitives")</f>
        <v>0</v>
      </c>
      <c r="E24" s="38">
        <f>COUNTIFS(Comments!K2:K98, "T",Comments!N2:N98,"MAC primitives", Comments!S2:S98, "C")</f>
        <v>0</v>
      </c>
      <c r="F24" s="39">
        <f>COUNTIFS(Comments!K2:K98, "T",Comments!N2:N98,"MAC primitives", Comments!S2:S98, "O")</f>
        <v>0</v>
      </c>
      <c r="H24" s="37" t="s">
        <v>51</v>
      </c>
      <c r="I24" s="38">
        <f>COUNTIFS('Rogue Comments'!J2:J100, "T", 'Rogue Comments'!L2:L100,"MAC primitives")</f>
        <v>0</v>
      </c>
      <c r="J24" s="38">
        <f>COUNTIFS('Rogue Comments'!J2:J100, "T", 'Rogue Comments'!L2:L100,"MAC primitives", 'Rogue Comments'!P2:P100, "C")</f>
        <v>0</v>
      </c>
      <c r="K24" s="39">
        <f>COUNTIFS('Rogue Comments'!J2:J100, "T", 'Rogue Comments'!L2:L100,"MAC primitives", 'Rogue Comments'!P2:P100, "O")</f>
        <v>0</v>
      </c>
    </row>
    <row r="25" spans="3:19" x14ac:dyDescent="0.2">
      <c r="C25" s="37" t="s">
        <v>100</v>
      </c>
      <c r="D25" s="38">
        <f>COUNTIFS(Comments!K2:K99, "T",Comments!N2:N99,"PHY deprecation")</f>
        <v>0</v>
      </c>
      <c r="E25" s="38">
        <f>COUNTIFS(Comments!K2:K99, "T",Comments!N2:N99,"PHY deprecation", Comments!S2:S99, "C")</f>
        <v>0</v>
      </c>
      <c r="F25" s="39">
        <f>COUNTIFS(Comments!K2:K99, "T",Comments!N2:N99,"PHY deprecation", Comments!S2:S99, "O")</f>
        <v>0</v>
      </c>
      <c r="H25" s="37" t="s">
        <v>58</v>
      </c>
      <c r="I25" s="38">
        <f>COUNTIFS('Rogue Comments'!J2:J100, "T", 'Rogue Comments'!L2:L100,"RIT")</f>
        <v>0</v>
      </c>
      <c r="J25" s="38">
        <f>COUNTIFS('Rogue Comments'!J2:J100, "T", 'Rogue Comments'!L2:L100,"RIT", 'Rogue Comments'!P2:P100, "C")</f>
        <v>0</v>
      </c>
      <c r="K25" s="39">
        <f>COUNTIFS('Rogue Comments'!J2:J100, "T", 'Rogue Comments'!L2:L100,"RIT", 'Rogue Comments'!P2:P100, "O")</f>
        <v>0</v>
      </c>
    </row>
    <row r="26" spans="3:19" x14ac:dyDescent="0.2">
      <c r="C26" s="37" t="s">
        <v>101</v>
      </c>
      <c r="D26" s="38">
        <f>COUNTIFS(Comments!K2:K100, "T",Comments!N2:N100,"PHY modes")</f>
        <v>0</v>
      </c>
      <c r="E26" s="38">
        <f>COUNTIFS(Comments!K2:K100, "T",Comments!N2:N100,"PHY modes", Comments!S2:S100, "C")</f>
        <v>0</v>
      </c>
      <c r="F26" s="39">
        <f>COUNTIFS(Comments!K2:K100, "T",Comments!N2:N100,"PHY modes", Comments!S2:S100, "O")</f>
        <v>0</v>
      </c>
      <c r="H26" s="37" t="s">
        <v>52</v>
      </c>
      <c r="I26" s="38">
        <f>COUNTIFS('Rogue Comments'!J2:J100, "T", 'Rogue Comments'!L2:L100,"Security")</f>
        <v>0</v>
      </c>
      <c r="J26" s="38">
        <f>COUNTIFS('Rogue Comments'!J2:J100, "T", 'Rogue Comments'!L2:L100,"Security", 'Rogue Comments'!P2:P100, "C")</f>
        <v>0</v>
      </c>
      <c r="K26" s="39">
        <f>COUNTIFS('Rogue Comments'!J2:J100, "T", 'Rogue Comments'!L2:L100,"Security", 'Rogue Comments'!P2:P100, "O")</f>
        <v>0</v>
      </c>
    </row>
    <row r="27" spans="3:19" x14ac:dyDescent="0.2">
      <c r="C27" s="37" t="s">
        <v>102</v>
      </c>
      <c r="D27" s="38">
        <f>COUNTIFS(Comments!K2:K101, "T",Comments!N2:N101,"Radio spec")</f>
        <v>0</v>
      </c>
      <c r="E27" s="38">
        <f>COUNTIFS(Comments!K2:K101, "T",Comments!N2:N101,"Radio spec", Comments!S2:S101, "C")</f>
        <v>0</v>
      </c>
      <c r="F27" s="39">
        <f>COUNTIFS(Comments!K2:K101, "T",Comments!N2:N101,"Radio spec", Comments!S2:S101, "O")</f>
        <v>0</v>
      </c>
      <c r="H27" s="37" t="s">
        <v>56</v>
      </c>
      <c r="I27" s="38">
        <f>COUNTIFS('Rogue Comments'!J2:J100, "T", 'Rogue Comments'!L2:L100,"SUN PHY")</f>
        <v>0</v>
      </c>
      <c r="J27" s="38">
        <f>COUNTIFS('Rogue Comments'!J2:J100, "T", 'Rogue Comments'!L2:L100,"SUN PHY", 'Rogue Comments'!P2:P100, "C")</f>
        <v>0</v>
      </c>
      <c r="K27" s="39">
        <f>COUNTIFS('Rogue Comments'!J2:J100, "T", 'Rogue Comments'!L2:L100,"SUN PHY", 'Rogue Comments'!P2:P100, "O")</f>
        <v>0</v>
      </c>
    </row>
    <row r="28" spans="3:19" x14ac:dyDescent="0.2">
      <c r="C28" s="37" t="s">
        <v>52</v>
      </c>
      <c r="D28" s="38">
        <f>COUNTIFS(Comments!K2:K102, "T",Comments!N2:N102,"Security")</f>
        <v>0</v>
      </c>
      <c r="E28" s="38">
        <f>COUNTIFS(Comments!K2:K102, "T",Comments!N2:N102,"Security", Comments!S2:S102, "C")</f>
        <v>0</v>
      </c>
      <c r="F28" s="39">
        <f>COUNTIFS(Comments!K2:K102, "T",Comments!N2:N102,"Security", Comments!S2:S102, "O")</f>
        <v>0</v>
      </c>
      <c r="H28" s="37" t="s">
        <v>48</v>
      </c>
      <c r="I28" s="38">
        <f>COUNTIFS('Rogue Comments'!J2:J100, "T", 'Rogue Comments'!L2:L100,"TSCH")</f>
        <v>0</v>
      </c>
      <c r="J28" s="38">
        <f>COUNTIFS('Rogue Comments'!J2:J100, "T", 'Rogue Comments'!L2:L100,"TSCH", 'Rogue Comments'!P2:P100, "C")</f>
        <v>0</v>
      </c>
      <c r="K28" s="39">
        <f>COUNTIFS('Rogue Comments'!J2:J100, "T", 'Rogue Comments'!L2:L100,"TSCH", 'Rogue Comments'!P2:P100, "O")</f>
        <v>0</v>
      </c>
    </row>
    <row r="29" spans="3:19" ht="13.5" thickBot="1" x14ac:dyDescent="0.25">
      <c r="C29" s="37" t="s">
        <v>57</v>
      </c>
      <c r="D29" s="38">
        <f>COUNTIFS(Comments!K2:K103, "T",Comments!N2:N103,"SRM")</f>
        <v>0</v>
      </c>
      <c r="E29" s="38">
        <f>COUNTIFS(Comments!K2:K103, "T",Comments!N2:N103,"SRM", Comments!S2:S103, "C")</f>
        <v>0</v>
      </c>
      <c r="F29" s="39">
        <f>COUNTIFS(Comments!K2:K103, "T",Comments!N2:N103,"SRM", Comments!S2:S103, "O")</f>
        <v>0</v>
      </c>
      <c r="H29" s="37" t="s">
        <v>103</v>
      </c>
      <c r="I29" s="38">
        <f>COUNTIFS('Rogue Comments'!J2:J100, "T", 'Rogue Comments'!L2:L100,"")</f>
        <v>0</v>
      </c>
      <c r="J29" s="38">
        <f>COUNTIFS('Rogue Comments'!J2:J100, "T", 'Rogue Comments'!L2:L100,"", 'Rogue Comments'!P2:P100, "C")</f>
        <v>0</v>
      </c>
      <c r="K29" s="39">
        <f>COUNTIFS('Rogue Comments'!J2:J100, "T", 'Rogue Comments'!L2:L100,"", 'Rogue Comments'!P2:P100, "O")</f>
        <v>0</v>
      </c>
    </row>
    <row r="30" spans="3:19" ht="13.5" thickBot="1" x14ac:dyDescent="0.25">
      <c r="C30" s="37" t="s">
        <v>56</v>
      </c>
      <c r="D30" s="38">
        <f>COUNTIFS(Comments!K2:K104, "T",Comments!N2:N104,"SUN PHY")</f>
        <v>0</v>
      </c>
      <c r="E30" s="38">
        <f>COUNTIFS(Comments!K2:K104, "T",Comments!N2:N104,"SUN PHY", Comments!S2:S104, "C")</f>
        <v>0</v>
      </c>
      <c r="F30" s="39">
        <f>COUNTIFS(Comments!K2:K104, "T",Comments!N2:N104,"SUN PHY", Comments!S2:S104, "O")</f>
        <v>0</v>
      </c>
      <c r="H30" s="36" t="s">
        <v>92</v>
      </c>
      <c r="I30" s="46">
        <f>SUM(I22:I29)</f>
        <v>0</v>
      </c>
      <c r="J30" s="46">
        <f>SUM(J22:J29)</f>
        <v>0</v>
      </c>
      <c r="K30" s="45">
        <f>SUM(K22:K29)</f>
        <v>0</v>
      </c>
    </row>
    <row r="31" spans="3:19" x14ac:dyDescent="0.2">
      <c r="C31" s="37" t="s">
        <v>48</v>
      </c>
      <c r="D31" s="38">
        <f>COUNTIFS(Comments!K2:K105, "T",Comments!N2:N105,"TSCH")</f>
        <v>0</v>
      </c>
      <c r="E31" s="38">
        <f>COUNTIFS(Comments!K2:K105, "T",Comments!N2:N105,"TSCH", Comments!S2:S105, "C")</f>
        <v>0</v>
      </c>
      <c r="F31" s="39">
        <f>COUNTIFS(Comments!K2:K105, "T",Comments!N2:N105,"TSCH", Comments!S2:S105, "O")</f>
        <v>0</v>
      </c>
    </row>
    <row r="32" spans="3:19" x14ac:dyDescent="0.2">
      <c r="C32" s="37" t="s">
        <v>53</v>
      </c>
      <c r="D32" s="38">
        <f>COUNTIFS(Comments!K2:K106, "T",Comments!N2:N106,"UWB")</f>
        <v>0</v>
      </c>
      <c r="E32" s="38">
        <f>COUNTIFS(Comments!K2:K106, "T",Comments!N2:N106,"UWB", Comments!S2:S106, "C")</f>
        <v>0</v>
      </c>
      <c r="F32" s="39">
        <f>COUNTIFS(Comments!K2:K106, "T",Comments!N2:N106,"UWB", Comments!S2:S106, "O")</f>
        <v>0</v>
      </c>
    </row>
    <row r="33" spans="3:6" ht="13.5" thickBot="1" x14ac:dyDescent="0.25">
      <c r="C33" s="37" t="s">
        <v>103</v>
      </c>
      <c r="D33" s="38">
        <f>COUNTIFS(Comments!K2:K107, "T",Comments!N2:N107,"")</f>
        <v>1</v>
      </c>
      <c r="E33" s="38">
        <f>COUNTIFS(Comments!K2:K107, "T",Comments!N2:N107,"", Comments!S2:S107, "C")</f>
        <v>0</v>
      </c>
      <c r="F33" s="39">
        <f>COUNTIFS(Comments!K2:K107, "T",Comments!N2:N107,"", Comments!S2:S107, "O")</f>
        <v>0</v>
      </c>
    </row>
    <row r="34" spans="3:6" ht="13.5" thickBot="1" x14ac:dyDescent="0.25">
      <c r="C34" s="36" t="s">
        <v>92</v>
      </c>
      <c r="D34" s="46">
        <f>SUM(D19:D33)</f>
        <v>1</v>
      </c>
      <c r="E34" s="46">
        <f>SUM(E19:E33)</f>
        <v>0</v>
      </c>
      <c r="F34" s="45">
        <f>SUM(F19:F33)</f>
        <v>0</v>
      </c>
    </row>
  </sheetData>
  <mergeCells count="7">
    <mergeCell ref="Q23:R23"/>
    <mergeCell ref="M14:N14"/>
    <mergeCell ref="C17:F17"/>
    <mergeCell ref="H20:K20"/>
    <mergeCell ref="B5:E5"/>
    <mergeCell ref="G5:J5"/>
    <mergeCell ref="L5:N5"/>
  </mergeCells>
  <phoneticPr fontId="1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topLeftCell="A2" zoomScale="70" zoomScaleNormal="70" zoomScaleSheetLayoutView="115" workbookViewId="0">
      <pane xSplit="1" ySplit="1" topLeftCell="F12" activePane="bottomRight" state="frozen"/>
      <selection activeCell="A2" sqref="A2"/>
      <selection pane="topRight" activeCell="B2" sqref="B2"/>
      <selection pane="bottomLeft" activeCell="A3" sqref="A3"/>
      <selection pane="bottomRight" activeCell="P11" sqref="P11"/>
    </sheetView>
  </sheetViews>
  <sheetFormatPr defaultColWidth="8.85546875" defaultRowHeight="12.75" x14ac:dyDescent="0.2"/>
  <cols>
    <col min="1" max="1" width="8.85546875" style="56"/>
    <col min="2" max="2" width="13.7109375" style="58" customWidth="1"/>
    <col min="3" max="3" width="19.7109375" style="58" customWidth="1"/>
    <col min="4" max="5" width="31.42578125" style="58" customWidth="1"/>
    <col min="6" max="6" width="6.7109375" style="58" customWidth="1"/>
    <col min="7" max="7" width="10.42578125" style="58" customWidth="1"/>
    <col min="8" max="8" width="7.42578125" style="58" customWidth="1"/>
    <col min="9" max="9" width="54.42578125" style="50" customWidth="1"/>
    <col min="10" max="10" width="51.140625" style="50" customWidth="1"/>
    <col min="11" max="11" width="4.140625" style="58" customWidth="1"/>
    <col min="12" max="12" width="11" style="58" hidden="1" customWidth="1"/>
    <col min="13" max="13" width="11" style="50" customWidth="1"/>
    <col min="14" max="14" width="8.85546875" style="58" customWidth="1"/>
    <col min="15" max="15" width="14" style="58" customWidth="1"/>
    <col min="16" max="16" width="44.7109375" style="50" customWidth="1"/>
    <col min="17" max="17" width="16.140625" style="50" customWidth="1"/>
    <col min="18" max="18" width="22.28515625" style="50" customWidth="1"/>
    <col min="19" max="19" width="8.85546875" style="58" customWidth="1"/>
    <col min="20" max="20" width="12.42578125" style="58" bestFit="1" customWidth="1"/>
    <col min="21" max="16384" width="8.85546875" style="58"/>
  </cols>
  <sheetData>
    <row r="1" spans="1:20" ht="95.1" hidden="1" customHeight="1" x14ac:dyDescent="0.2">
      <c r="B1" s="76" t="s">
        <v>21</v>
      </c>
      <c r="C1" s="76"/>
      <c r="D1" s="76"/>
      <c r="E1" s="76"/>
      <c r="F1" s="76"/>
      <c r="G1" s="76"/>
      <c r="H1" s="76"/>
      <c r="I1" s="76"/>
      <c r="J1" s="76"/>
      <c r="K1" s="76"/>
      <c r="L1" s="76"/>
      <c r="M1" s="57"/>
      <c r="Q1" s="58"/>
    </row>
    <row r="2" spans="1:20" ht="26.1" customHeight="1" x14ac:dyDescent="0.2">
      <c r="A2" s="56" t="s">
        <v>62</v>
      </c>
      <c r="B2" s="59" t="s">
        <v>11</v>
      </c>
      <c r="C2" s="59" t="s">
        <v>12</v>
      </c>
      <c r="D2" s="59" t="s">
        <v>13</v>
      </c>
      <c r="E2" s="59" t="s">
        <v>134</v>
      </c>
      <c r="F2" s="59" t="s">
        <v>14</v>
      </c>
      <c r="G2" s="59" t="s">
        <v>15</v>
      </c>
      <c r="H2" s="59" t="s">
        <v>16</v>
      </c>
      <c r="I2" s="60" t="s">
        <v>17</v>
      </c>
      <c r="J2" s="60" t="s">
        <v>18</v>
      </c>
      <c r="K2" s="59" t="s">
        <v>20</v>
      </c>
      <c r="L2" s="60" t="s">
        <v>19</v>
      </c>
      <c r="M2" s="60" t="s">
        <v>19</v>
      </c>
      <c r="N2" s="58" t="s">
        <v>47</v>
      </c>
      <c r="O2" s="50" t="s">
        <v>133</v>
      </c>
      <c r="P2" s="50" t="s">
        <v>64</v>
      </c>
      <c r="Q2" s="50" t="s">
        <v>60</v>
      </c>
      <c r="R2" s="50" t="s">
        <v>61</v>
      </c>
      <c r="S2" s="58" t="s">
        <v>105</v>
      </c>
      <c r="T2" s="58" t="s">
        <v>113</v>
      </c>
    </row>
    <row r="3" spans="1:20" s="50" customFormat="1" ht="38.25" x14ac:dyDescent="0.2">
      <c r="A3" s="61">
        <v>1</v>
      </c>
      <c r="B3" s="50" t="s">
        <v>126</v>
      </c>
      <c r="C3" s="50" t="s">
        <v>124</v>
      </c>
      <c r="D3" s="62" t="s">
        <v>125</v>
      </c>
      <c r="E3" s="65" t="s">
        <v>135</v>
      </c>
      <c r="F3" s="50">
        <v>1</v>
      </c>
      <c r="G3" s="50">
        <v>2.1</v>
      </c>
      <c r="I3" s="50" t="s">
        <v>130</v>
      </c>
      <c r="J3" s="50" t="s">
        <v>138</v>
      </c>
      <c r="K3" s="50" t="s">
        <v>129</v>
      </c>
      <c r="O3" s="50" t="s">
        <v>140</v>
      </c>
      <c r="P3" s="50" t="s">
        <v>139</v>
      </c>
    </row>
    <row r="4" spans="1:20" s="50" customFormat="1" ht="38.25" x14ac:dyDescent="0.2">
      <c r="A4" s="61">
        <v>2</v>
      </c>
      <c r="B4" s="50" t="s">
        <v>126</v>
      </c>
      <c r="C4" s="50" t="s">
        <v>124</v>
      </c>
      <c r="D4" s="62" t="s">
        <v>125</v>
      </c>
      <c r="E4" s="65" t="s">
        <v>135</v>
      </c>
      <c r="F4" s="50">
        <v>1</v>
      </c>
      <c r="G4" s="50">
        <v>2.1</v>
      </c>
      <c r="I4" s="50" t="s">
        <v>131</v>
      </c>
      <c r="J4" s="50" t="s">
        <v>141</v>
      </c>
      <c r="K4" s="50" t="s">
        <v>129</v>
      </c>
      <c r="O4" s="50" t="s">
        <v>140</v>
      </c>
      <c r="P4" s="50" t="s">
        <v>142</v>
      </c>
    </row>
    <row r="5" spans="1:20" s="50" customFormat="1" ht="84.75" customHeight="1" x14ac:dyDescent="0.2">
      <c r="A5" s="61">
        <v>3</v>
      </c>
      <c r="B5" s="50" t="s">
        <v>126</v>
      </c>
      <c r="C5" s="50" t="s">
        <v>124</v>
      </c>
      <c r="D5" s="62" t="s">
        <v>125</v>
      </c>
      <c r="E5" s="65" t="s">
        <v>135</v>
      </c>
      <c r="F5" s="50">
        <v>1</v>
      </c>
      <c r="G5" s="50" t="s">
        <v>127</v>
      </c>
      <c r="I5" s="50" t="s">
        <v>132</v>
      </c>
      <c r="J5" s="50" t="s">
        <v>143</v>
      </c>
      <c r="K5" s="50" t="s">
        <v>129</v>
      </c>
      <c r="O5" s="50" t="s">
        <v>140</v>
      </c>
      <c r="P5" s="50" t="s">
        <v>150</v>
      </c>
    </row>
    <row r="6" spans="1:20" s="50" customFormat="1" ht="89.25" x14ac:dyDescent="0.2">
      <c r="A6" s="61">
        <v>4</v>
      </c>
      <c r="B6" s="50" t="s">
        <v>126</v>
      </c>
      <c r="C6" s="50" t="s">
        <v>124</v>
      </c>
      <c r="D6" s="62" t="s">
        <v>125</v>
      </c>
      <c r="E6" s="65" t="s">
        <v>135</v>
      </c>
      <c r="F6" s="50">
        <v>1</v>
      </c>
      <c r="G6" s="50" t="s">
        <v>128</v>
      </c>
      <c r="I6" s="50" t="s">
        <v>145</v>
      </c>
      <c r="J6" s="50" t="s">
        <v>144</v>
      </c>
      <c r="K6" s="50" t="s">
        <v>129</v>
      </c>
      <c r="O6" s="50" t="s">
        <v>140</v>
      </c>
      <c r="P6" s="50" t="s">
        <v>146</v>
      </c>
    </row>
    <row r="7" spans="1:20" s="50" customFormat="1" ht="331.5" x14ac:dyDescent="0.2">
      <c r="A7" s="61">
        <v>5</v>
      </c>
      <c r="B7" s="50" t="s">
        <v>126</v>
      </c>
      <c r="C7" s="50" t="s">
        <v>124</v>
      </c>
      <c r="D7" s="62" t="s">
        <v>125</v>
      </c>
      <c r="E7" s="65" t="s">
        <v>135</v>
      </c>
      <c r="F7" s="50">
        <v>2</v>
      </c>
      <c r="G7" s="50">
        <v>5.5</v>
      </c>
      <c r="I7" s="50" t="s">
        <v>147</v>
      </c>
      <c r="J7" s="50" t="s">
        <v>148</v>
      </c>
      <c r="K7" s="50" t="s">
        <v>129</v>
      </c>
      <c r="O7" s="50" t="s">
        <v>140</v>
      </c>
      <c r="P7" s="50" t="s">
        <v>149</v>
      </c>
    </row>
    <row r="8" spans="1:20" s="50" customFormat="1" ht="51" x14ac:dyDescent="0.2">
      <c r="A8" s="61">
        <v>6</v>
      </c>
      <c r="B8" s="50" t="s">
        <v>151</v>
      </c>
      <c r="C8" s="50" t="s">
        <v>152</v>
      </c>
      <c r="D8" s="62" t="s">
        <v>153</v>
      </c>
      <c r="E8" s="62" t="s">
        <v>154</v>
      </c>
      <c r="F8" s="50">
        <v>1</v>
      </c>
      <c r="G8" s="50" t="s">
        <v>155</v>
      </c>
      <c r="I8" s="50" t="s">
        <v>162</v>
      </c>
      <c r="J8" s="50" t="s">
        <v>156</v>
      </c>
      <c r="K8" s="50" t="s">
        <v>171</v>
      </c>
      <c r="O8" s="50" t="s">
        <v>172</v>
      </c>
    </row>
    <row r="9" spans="1:20" s="50" customFormat="1" ht="102" x14ac:dyDescent="0.2">
      <c r="A9" s="61">
        <v>7</v>
      </c>
      <c r="B9" s="50" t="s">
        <v>151</v>
      </c>
      <c r="C9" s="50" t="s">
        <v>152</v>
      </c>
      <c r="D9" s="62" t="s">
        <v>153</v>
      </c>
      <c r="E9" s="62" t="s">
        <v>154</v>
      </c>
      <c r="F9" s="50">
        <v>1</v>
      </c>
      <c r="G9" s="50" t="s">
        <v>159</v>
      </c>
      <c r="I9" s="50" t="s">
        <v>173</v>
      </c>
      <c r="J9" s="66" t="s">
        <v>157</v>
      </c>
      <c r="K9" s="50" t="s">
        <v>171</v>
      </c>
      <c r="O9" s="50" t="s">
        <v>140</v>
      </c>
      <c r="P9" s="50" t="s">
        <v>181</v>
      </c>
    </row>
    <row r="10" spans="1:20" s="50" customFormat="1" ht="222.75" customHeight="1" x14ac:dyDescent="0.2">
      <c r="A10" s="61">
        <v>8</v>
      </c>
      <c r="B10" s="50" t="s">
        <v>151</v>
      </c>
      <c r="C10" s="50" t="s">
        <v>152</v>
      </c>
      <c r="D10" s="62" t="s">
        <v>153</v>
      </c>
      <c r="E10" s="62" t="s">
        <v>154</v>
      </c>
      <c r="F10" s="50">
        <v>1</v>
      </c>
      <c r="G10" s="50" t="s">
        <v>158</v>
      </c>
      <c r="I10" s="50" t="s">
        <v>174</v>
      </c>
      <c r="J10" s="66" t="s">
        <v>160</v>
      </c>
      <c r="K10" s="50" t="s">
        <v>176</v>
      </c>
      <c r="O10" s="50" t="s">
        <v>178</v>
      </c>
      <c r="P10" s="50" t="s">
        <v>177</v>
      </c>
      <c r="S10" s="58"/>
      <c r="T10" s="58"/>
    </row>
    <row r="11" spans="1:20" s="50" customFormat="1" ht="280.5" x14ac:dyDescent="0.2">
      <c r="A11" s="61">
        <v>9</v>
      </c>
      <c r="B11" s="50" t="s">
        <v>151</v>
      </c>
      <c r="C11" s="50" t="s">
        <v>152</v>
      </c>
      <c r="D11" s="62" t="s">
        <v>153</v>
      </c>
      <c r="E11" s="62" t="s">
        <v>154</v>
      </c>
      <c r="F11" s="50">
        <v>1</v>
      </c>
      <c r="G11" s="50" t="s">
        <v>161</v>
      </c>
      <c r="I11" s="50" t="s">
        <v>163</v>
      </c>
      <c r="J11" s="50" t="s">
        <v>182</v>
      </c>
      <c r="K11" s="50" t="s">
        <v>171</v>
      </c>
      <c r="O11" s="50" t="s">
        <v>172</v>
      </c>
      <c r="S11" s="58"/>
      <c r="T11" s="58"/>
    </row>
    <row r="12" spans="1:20" s="50" customFormat="1" ht="51" x14ac:dyDescent="0.2">
      <c r="A12" s="61">
        <v>10</v>
      </c>
      <c r="B12" s="50" t="s">
        <v>151</v>
      </c>
      <c r="C12" s="50" t="s">
        <v>152</v>
      </c>
      <c r="D12" s="62" t="s">
        <v>153</v>
      </c>
      <c r="E12" s="62" t="s">
        <v>165</v>
      </c>
      <c r="F12" s="50">
        <v>2</v>
      </c>
      <c r="G12" s="50" t="s">
        <v>166</v>
      </c>
      <c r="I12" s="50" t="s">
        <v>179</v>
      </c>
      <c r="J12" s="50" t="s">
        <v>167</v>
      </c>
      <c r="K12" s="50" t="s">
        <v>171</v>
      </c>
      <c r="L12" s="63"/>
      <c r="N12" s="58"/>
      <c r="O12" s="50" t="s">
        <v>180</v>
      </c>
      <c r="P12" s="50" t="s">
        <v>183</v>
      </c>
    </row>
    <row r="13" spans="1:20" s="50" customFormat="1" ht="102" x14ac:dyDescent="0.2">
      <c r="A13" s="61">
        <v>11</v>
      </c>
      <c r="B13" s="50" t="s">
        <v>151</v>
      </c>
      <c r="C13" s="50" t="s">
        <v>152</v>
      </c>
      <c r="D13" s="62" t="s">
        <v>153</v>
      </c>
      <c r="E13" s="62" t="s">
        <v>165</v>
      </c>
      <c r="F13" s="50">
        <v>3</v>
      </c>
      <c r="G13" s="50" t="s">
        <v>168</v>
      </c>
      <c r="I13" s="50" t="s">
        <v>169</v>
      </c>
      <c r="J13" s="50" t="s">
        <v>170</v>
      </c>
      <c r="K13" s="50" t="s">
        <v>171</v>
      </c>
      <c r="O13" s="50" t="s">
        <v>175</v>
      </c>
    </row>
    <row r="14" spans="1:20" s="50" customFormat="1" x14ac:dyDescent="0.2">
      <c r="A14" s="61">
        <v>12</v>
      </c>
      <c r="S14" s="58"/>
      <c r="T14" s="58"/>
    </row>
    <row r="15" spans="1:20" s="50" customFormat="1" x14ac:dyDescent="0.2">
      <c r="A15" s="61">
        <v>13</v>
      </c>
      <c r="D15" s="64"/>
      <c r="E15" s="64"/>
    </row>
    <row r="16" spans="1:20" s="50" customFormat="1" x14ac:dyDescent="0.2">
      <c r="A16" s="61">
        <v>14</v>
      </c>
      <c r="D16" s="62"/>
      <c r="E16" s="62"/>
    </row>
    <row r="17" spans="1:20" s="50" customFormat="1" x14ac:dyDescent="0.2">
      <c r="A17" s="61">
        <v>15</v>
      </c>
      <c r="S17" s="58"/>
      <c r="T17" s="58"/>
    </row>
    <row r="18" spans="1:20" s="50" customFormat="1" x14ac:dyDescent="0.2">
      <c r="A18" s="61">
        <v>16</v>
      </c>
      <c r="D18" s="64"/>
      <c r="E18" s="64"/>
    </row>
    <row r="19" spans="1:20" s="50" customFormat="1" x14ac:dyDescent="0.2">
      <c r="A19" s="61">
        <v>17</v>
      </c>
      <c r="D19" s="62"/>
      <c r="E19" s="62"/>
    </row>
    <row r="20" spans="1:20" s="50" customFormat="1" x14ac:dyDescent="0.2">
      <c r="A20" s="61">
        <v>18</v>
      </c>
      <c r="D20" s="62"/>
      <c r="E20" s="62"/>
      <c r="L20" s="63"/>
      <c r="N20" s="58"/>
    </row>
    <row r="21" spans="1:20" s="50" customFormat="1" x14ac:dyDescent="0.2">
      <c r="A21" s="61">
        <v>19</v>
      </c>
      <c r="S21" s="58"/>
      <c r="T21" s="58"/>
    </row>
    <row r="22" spans="1:20" s="50" customFormat="1" x14ac:dyDescent="0.2">
      <c r="A22" s="61">
        <v>20</v>
      </c>
    </row>
  </sheetData>
  <sheetProtection selectLockedCells="1" selectUnlockedCells="1"/>
  <sortState ref="B3:L22">
    <sortCondition ref="F3:F22"/>
    <sortCondition ref="H3:H22"/>
  </sortState>
  <mergeCells count="1">
    <mergeCell ref="B1:L1"/>
  </mergeCells>
  <phoneticPr fontId="0" type="noConversion"/>
  <hyperlinks>
    <hyperlink ref="D4" r:id="rId1"/>
    <hyperlink ref="D5" r:id="rId2"/>
    <hyperlink ref="D6" r:id="rId3"/>
    <hyperlink ref="D7" r:id="rId4"/>
    <hyperlink ref="D3" r:id="rId5"/>
    <hyperlink ref="D8" r:id="rId6"/>
    <hyperlink ref="D9" r:id="rId7"/>
    <hyperlink ref="D10" r:id="rId8"/>
    <hyperlink ref="D11" r:id="rId9"/>
    <hyperlink ref="D12" r:id="rId10"/>
    <hyperlink ref="D13" r:id="rId11"/>
  </hyperlinks>
  <pageMargins left="0.78740157499999996" right="0.78740157499999996" top="0.984251969" bottom="0.984251969" header="0.51180555555555551" footer="0.51180555555555551"/>
  <pageSetup firstPageNumber="0" orientation="portrait" horizontalDpi="300" verticalDpi="300" r:id="rId1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8576"/>
  <sheetViews>
    <sheetView zoomScale="70" zoomScaleNormal="70" workbookViewId="0">
      <pane xSplit="1" topLeftCell="G1" activePane="topRight" state="frozen"/>
      <selection activeCell="A2" sqref="A2"/>
      <selection pane="topRight" activeCell="I29" sqref="I29"/>
    </sheetView>
  </sheetViews>
  <sheetFormatPr defaultColWidth="8.85546875" defaultRowHeight="12.75" x14ac:dyDescent="0.2"/>
  <cols>
    <col min="1" max="1" width="8.85546875" style="34"/>
    <col min="2" max="2" width="10" style="15" bestFit="1" customWidth="1"/>
    <col min="3" max="3" width="12.42578125" style="15" bestFit="1" customWidth="1"/>
    <col min="4" max="4" width="13.28515625" style="15" bestFit="1" customWidth="1"/>
    <col min="5" max="5" width="6.7109375" style="15" customWidth="1"/>
    <col min="6" max="6" width="10.42578125" style="15" customWidth="1"/>
    <col min="7" max="7" width="7.42578125" style="15" customWidth="1"/>
    <col min="8" max="8" width="54.42578125" style="14" customWidth="1"/>
    <col min="9" max="9" width="51.140625" style="14" customWidth="1"/>
    <col min="10" max="10" width="4.140625" style="15" customWidth="1"/>
    <col min="11" max="11" width="11" style="15" customWidth="1"/>
    <col min="12" max="13" width="8.85546875" style="15"/>
    <col min="14" max="14" width="46.85546875" style="14" customWidth="1"/>
    <col min="15" max="15" width="28.140625" style="15" customWidth="1"/>
    <col min="16" max="16" width="8.85546875" style="15"/>
    <col min="17" max="17" width="33.28515625" style="15" customWidth="1"/>
    <col min="18" max="16384" width="8.85546875" style="15"/>
  </cols>
  <sheetData>
    <row r="1" spans="1:17" ht="137.1" hidden="1" customHeight="1" x14ac:dyDescent="0.2">
      <c r="B1" s="77" t="s">
        <v>21</v>
      </c>
      <c r="C1" s="77"/>
      <c r="D1" s="77"/>
      <c r="E1" s="77"/>
      <c r="F1" s="77"/>
      <c r="G1" s="77"/>
      <c r="H1" s="77"/>
      <c r="I1" s="77"/>
      <c r="J1" s="77"/>
      <c r="K1" s="77"/>
    </row>
    <row r="2" spans="1:17" ht="89.25" x14ac:dyDescent="0.2">
      <c r="A2" s="34" t="s">
        <v>62</v>
      </c>
      <c r="B2" s="16" t="s">
        <v>11</v>
      </c>
      <c r="C2" s="16" t="s">
        <v>12</v>
      </c>
      <c r="D2" s="16" t="s">
        <v>13</v>
      </c>
      <c r="E2" s="16" t="s">
        <v>14</v>
      </c>
      <c r="F2" s="16" t="s">
        <v>15</v>
      </c>
      <c r="G2" s="16" t="s">
        <v>16</v>
      </c>
      <c r="H2" s="17" t="s">
        <v>17</v>
      </c>
      <c r="I2" s="17" t="s">
        <v>18</v>
      </c>
      <c r="J2" s="16" t="s">
        <v>20</v>
      </c>
      <c r="K2" s="17" t="s">
        <v>19</v>
      </c>
      <c r="L2" s="15" t="s">
        <v>47</v>
      </c>
      <c r="M2" s="14" t="s">
        <v>72</v>
      </c>
      <c r="N2" s="14" t="s">
        <v>71</v>
      </c>
      <c r="O2" s="15" t="s">
        <v>60</v>
      </c>
      <c r="P2" s="15" t="s">
        <v>107</v>
      </c>
      <c r="Q2" s="15" t="s">
        <v>61</v>
      </c>
    </row>
    <row r="3" spans="1:17" s="14" customFormat="1" x14ac:dyDescent="0.2">
      <c r="A3" s="35">
        <v>1000</v>
      </c>
      <c r="B3" s="25" t="s">
        <v>33</v>
      </c>
      <c r="C3" s="25" t="s">
        <v>34</v>
      </c>
      <c r="D3" s="26" t="s">
        <v>35</v>
      </c>
      <c r="E3" s="27">
        <v>59</v>
      </c>
      <c r="F3" s="27" t="s">
        <v>36</v>
      </c>
      <c r="G3" s="25"/>
      <c r="H3" s="28"/>
      <c r="I3" s="28"/>
      <c r="J3" s="25"/>
      <c r="K3" s="25"/>
    </row>
    <row r="4" spans="1:17" s="14" customFormat="1" x14ac:dyDescent="0.2">
      <c r="A4" s="35">
        <v>1001</v>
      </c>
      <c r="B4" s="25" t="s">
        <v>33</v>
      </c>
      <c r="C4" s="25" t="s">
        <v>34</v>
      </c>
      <c r="D4" s="26" t="s">
        <v>35</v>
      </c>
      <c r="E4" s="27">
        <v>70</v>
      </c>
      <c r="F4" s="27" t="s">
        <v>31</v>
      </c>
      <c r="G4" s="25"/>
      <c r="H4" s="28"/>
      <c r="I4" s="28"/>
      <c r="J4" s="25"/>
      <c r="K4" s="25"/>
    </row>
    <row r="5" spans="1:17" s="14" customFormat="1" x14ac:dyDescent="0.2">
      <c r="A5" s="35">
        <v>1002</v>
      </c>
      <c r="B5" s="25" t="s">
        <v>33</v>
      </c>
      <c r="C5" s="25" t="s">
        <v>34</v>
      </c>
      <c r="D5" s="26" t="s">
        <v>35</v>
      </c>
      <c r="E5" s="27">
        <v>71</v>
      </c>
      <c r="F5" s="27" t="s">
        <v>32</v>
      </c>
      <c r="G5" s="25"/>
      <c r="H5" s="28"/>
      <c r="I5" s="28"/>
      <c r="J5" s="25"/>
      <c r="K5" s="25"/>
    </row>
    <row r="6" spans="1:17" s="14" customFormat="1" x14ac:dyDescent="0.2">
      <c r="A6" s="35">
        <v>1003</v>
      </c>
      <c r="B6" s="25" t="s">
        <v>33</v>
      </c>
      <c r="C6" s="25" t="s">
        <v>34</v>
      </c>
      <c r="D6" s="26" t="s">
        <v>35</v>
      </c>
      <c r="E6" s="27">
        <v>71</v>
      </c>
      <c r="F6" s="27" t="s">
        <v>32</v>
      </c>
      <c r="G6" s="25"/>
      <c r="H6" s="28"/>
      <c r="I6" s="28"/>
      <c r="J6" s="25"/>
      <c r="K6" s="25"/>
    </row>
    <row r="7" spans="1:17" s="14" customFormat="1" x14ac:dyDescent="0.2">
      <c r="A7" s="35">
        <v>1004</v>
      </c>
      <c r="B7" s="25" t="s">
        <v>33</v>
      </c>
      <c r="C7" s="25" t="s">
        <v>34</v>
      </c>
      <c r="D7" s="26" t="s">
        <v>35</v>
      </c>
      <c r="E7" s="27">
        <v>71</v>
      </c>
      <c r="F7" s="27" t="s">
        <v>32</v>
      </c>
      <c r="G7" s="25"/>
      <c r="H7" s="28"/>
      <c r="I7" s="28"/>
      <c r="J7" s="25"/>
      <c r="K7" s="25"/>
    </row>
    <row r="8" spans="1:17" s="14" customFormat="1" x14ac:dyDescent="0.2">
      <c r="A8" s="35">
        <v>1005</v>
      </c>
      <c r="B8" t="s">
        <v>65</v>
      </c>
      <c r="C8" t="s">
        <v>66</v>
      </c>
      <c r="D8" s="18" t="s">
        <v>67</v>
      </c>
      <c r="E8">
        <v>71</v>
      </c>
      <c r="F8" t="s">
        <v>24</v>
      </c>
      <c r="G8"/>
      <c r="H8"/>
      <c r="I8"/>
      <c r="J8"/>
      <c r="K8"/>
    </row>
    <row r="9" spans="1:17" s="14" customFormat="1" x14ac:dyDescent="0.2">
      <c r="A9" s="35">
        <v>1006</v>
      </c>
      <c r="B9" s="25" t="s">
        <v>33</v>
      </c>
      <c r="C9" s="25" t="s">
        <v>34</v>
      </c>
      <c r="D9" s="26" t="s">
        <v>35</v>
      </c>
      <c r="E9" s="27">
        <v>92</v>
      </c>
      <c r="F9" s="27" t="s">
        <v>37</v>
      </c>
      <c r="G9" s="25"/>
      <c r="H9" s="28"/>
      <c r="I9" s="28"/>
      <c r="J9" s="25"/>
      <c r="K9" s="25"/>
    </row>
    <row r="10" spans="1:17" s="14" customFormat="1" x14ac:dyDescent="0.2">
      <c r="A10" s="35">
        <v>1007</v>
      </c>
      <c r="B10" s="25" t="s">
        <v>33</v>
      </c>
      <c r="C10" s="25" t="s">
        <v>34</v>
      </c>
      <c r="D10" s="26" t="s">
        <v>35</v>
      </c>
      <c r="E10" s="27">
        <v>101</v>
      </c>
      <c r="F10" s="27" t="s">
        <v>25</v>
      </c>
      <c r="G10" s="25"/>
      <c r="H10" s="28"/>
      <c r="I10" s="28"/>
      <c r="J10" s="25"/>
      <c r="K10" s="25"/>
    </row>
    <row r="11" spans="1:17" s="14" customFormat="1" x14ac:dyDescent="0.2">
      <c r="A11" s="35">
        <v>1008</v>
      </c>
      <c r="B11" s="25" t="s">
        <v>33</v>
      </c>
      <c r="C11" s="25" t="s">
        <v>34</v>
      </c>
      <c r="D11" s="26" t="s">
        <v>35</v>
      </c>
      <c r="E11" s="27">
        <v>101</v>
      </c>
      <c r="F11" s="27" t="s">
        <v>25</v>
      </c>
      <c r="G11" s="25"/>
      <c r="H11" s="28"/>
      <c r="I11" s="28"/>
      <c r="J11" s="25"/>
      <c r="K11" s="25"/>
    </row>
    <row r="12" spans="1:17" s="14" customFormat="1" x14ac:dyDescent="0.2">
      <c r="A12" s="35">
        <v>1009</v>
      </c>
      <c r="B12" s="25" t="s">
        <v>33</v>
      </c>
      <c r="C12" s="25" t="s">
        <v>34</v>
      </c>
      <c r="D12" s="26" t="s">
        <v>35</v>
      </c>
      <c r="E12" s="27">
        <v>101</v>
      </c>
      <c r="F12" s="27" t="s">
        <v>25</v>
      </c>
      <c r="G12" s="25"/>
      <c r="H12" s="28"/>
      <c r="I12" s="28"/>
      <c r="J12" s="25"/>
      <c r="K12" s="25"/>
    </row>
    <row r="13" spans="1:17" s="14" customFormat="1" x14ac:dyDescent="0.2">
      <c r="A13" s="35">
        <v>1010</v>
      </c>
      <c r="B13" s="25" t="s">
        <v>33</v>
      </c>
      <c r="C13" s="25" t="s">
        <v>34</v>
      </c>
      <c r="D13" s="26" t="s">
        <v>35</v>
      </c>
      <c r="E13" s="27">
        <v>103</v>
      </c>
      <c r="F13" s="27" t="s">
        <v>38</v>
      </c>
      <c r="G13" s="25"/>
      <c r="H13" s="28"/>
      <c r="I13" s="28"/>
      <c r="J13" s="25"/>
      <c r="K13" s="25"/>
    </row>
    <row r="14" spans="1:17" s="14" customFormat="1" x14ac:dyDescent="0.2">
      <c r="A14" s="35">
        <v>1011</v>
      </c>
      <c r="B14" t="s">
        <v>43</v>
      </c>
      <c r="C14" t="s">
        <v>44</v>
      </c>
      <c r="D14" s="18" t="s">
        <v>45</v>
      </c>
      <c r="E14">
        <v>108</v>
      </c>
      <c r="F14" t="s">
        <v>26</v>
      </c>
      <c r="G14"/>
      <c r="H14" s="33"/>
      <c r="I14" s="19"/>
      <c r="J14"/>
      <c r="K14"/>
    </row>
    <row r="15" spans="1:17" s="14" customFormat="1" x14ac:dyDescent="0.2">
      <c r="A15" s="35">
        <v>1012</v>
      </c>
      <c r="B15" s="25" t="s">
        <v>39</v>
      </c>
      <c r="C15" s="25" t="s">
        <v>34</v>
      </c>
      <c r="D15" s="29" t="s">
        <v>40</v>
      </c>
      <c r="E15" s="27">
        <v>109</v>
      </c>
      <c r="F15" s="30" t="s">
        <v>41</v>
      </c>
      <c r="G15" s="25"/>
      <c r="H15" s="28"/>
      <c r="I15" s="28"/>
      <c r="J15" s="25"/>
      <c r="K15" s="25"/>
    </row>
    <row r="16" spans="1:17" s="14" customFormat="1" ht="25.5" x14ac:dyDescent="0.2">
      <c r="A16" s="35">
        <v>1000</v>
      </c>
      <c r="B16" s="14" t="s">
        <v>65</v>
      </c>
      <c r="C16" s="14" t="s">
        <v>66</v>
      </c>
      <c r="D16" s="55" t="s">
        <v>67</v>
      </c>
      <c r="E16" s="14">
        <v>4</v>
      </c>
      <c r="F16" s="14" t="s">
        <v>74</v>
      </c>
      <c r="L16" s="50"/>
    </row>
    <row r="17" spans="1:11" s="14" customFormat="1" ht="25.5" x14ac:dyDescent="0.2">
      <c r="A17" s="35">
        <v>1014</v>
      </c>
      <c r="B17" s="14" t="s">
        <v>65</v>
      </c>
      <c r="C17" s="14" t="s">
        <v>66</v>
      </c>
      <c r="D17" s="55" t="s">
        <v>67</v>
      </c>
      <c r="E17" s="14">
        <v>9</v>
      </c>
      <c r="F17" s="14" t="s">
        <v>115</v>
      </c>
    </row>
    <row r="18" spans="1:11" s="14" customFormat="1" ht="25.5" x14ac:dyDescent="0.2">
      <c r="A18" s="35">
        <v>1015</v>
      </c>
      <c r="B18" s="14" t="s">
        <v>65</v>
      </c>
      <c r="C18" s="14" t="s">
        <v>66</v>
      </c>
      <c r="D18" s="55" t="s">
        <v>67</v>
      </c>
      <c r="E18" s="14">
        <v>9</v>
      </c>
      <c r="F18" s="14" t="s">
        <v>115</v>
      </c>
    </row>
    <row r="19" spans="1:11" s="14" customFormat="1" ht="25.5" x14ac:dyDescent="0.2">
      <c r="A19" s="35">
        <v>1001</v>
      </c>
      <c r="B19" s="14" t="s">
        <v>65</v>
      </c>
      <c r="C19" s="14" t="s">
        <v>66</v>
      </c>
      <c r="D19" s="55" t="s">
        <v>67</v>
      </c>
      <c r="E19" s="14">
        <v>4</v>
      </c>
      <c r="F19" s="14" t="s">
        <v>74</v>
      </c>
    </row>
    <row r="20" spans="1:11" s="14" customFormat="1" ht="25.5" x14ac:dyDescent="0.2">
      <c r="A20" s="35">
        <v>1017</v>
      </c>
      <c r="B20" s="14" t="s">
        <v>65</v>
      </c>
      <c r="C20" s="14" t="s">
        <v>66</v>
      </c>
      <c r="D20" s="55" t="s">
        <v>67</v>
      </c>
      <c r="E20" s="14">
        <v>9</v>
      </c>
      <c r="F20" s="14" t="s">
        <v>115</v>
      </c>
    </row>
    <row r="21" spans="1:11" s="14" customFormat="1" ht="25.5" x14ac:dyDescent="0.2">
      <c r="A21" s="35">
        <v>1018</v>
      </c>
      <c r="B21" s="14" t="s">
        <v>65</v>
      </c>
      <c r="C21" s="14" t="s">
        <v>66</v>
      </c>
      <c r="D21" s="55" t="s">
        <v>67</v>
      </c>
      <c r="E21" s="14">
        <v>9</v>
      </c>
      <c r="F21" s="14" t="s">
        <v>115</v>
      </c>
    </row>
    <row r="22" spans="1:11" s="14" customFormat="1" ht="25.5" x14ac:dyDescent="0.2">
      <c r="A22" s="35">
        <v>1019</v>
      </c>
      <c r="B22" s="14" t="s">
        <v>65</v>
      </c>
      <c r="C22" s="14" t="s">
        <v>66</v>
      </c>
      <c r="D22" s="55" t="s">
        <v>67</v>
      </c>
      <c r="E22" s="14">
        <v>9</v>
      </c>
      <c r="F22" s="14" t="s">
        <v>115</v>
      </c>
    </row>
    <row r="23" spans="1:11" s="14" customFormat="1" ht="25.5" x14ac:dyDescent="0.2">
      <c r="A23" s="35">
        <v>1020</v>
      </c>
      <c r="B23" s="14" t="s">
        <v>65</v>
      </c>
      <c r="C23" s="14" t="s">
        <v>66</v>
      </c>
      <c r="D23" s="55" t="s">
        <v>67</v>
      </c>
      <c r="E23" s="14">
        <v>7</v>
      </c>
      <c r="F23" s="14" t="s">
        <v>114</v>
      </c>
    </row>
    <row r="24" spans="1:11" s="14" customFormat="1" ht="56.1" customHeight="1" x14ac:dyDescent="0.2">
      <c r="A24" s="35">
        <v>1021</v>
      </c>
      <c r="B24" s="14" t="s">
        <v>65</v>
      </c>
      <c r="C24" s="14" t="s">
        <v>66</v>
      </c>
      <c r="D24" s="55" t="s">
        <v>67</v>
      </c>
      <c r="E24" s="14">
        <v>7</v>
      </c>
      <c r="F24" s="14" t="s">
        <v>114</v>
      </c>
    </row>
    <row r="25" spans="1:11" s="14" customFormat="1" x14ac:dyDescent="0.2">
      <c r="A25" s="35">
        <v>1022</v>
      </c>
      <c r="B25" t="s">
        <v>65</v>
      </c>
      <c r="C25" t="s">
        <v>66</v>
      </c>
      <c r="D25" s="18" t="s">
        <v>67</v>
      </c>
      <c r="E25">
        <v>150</v>
      </c>
      <c r="F25" t="s">
        <v>68</v>
      </c>
      <c r="G25"/>
      <c r="H25"/>
      <c r="I25"/>
      <c r="J25"/>
      <c r="K25"/>
    </row>
    <row r="26" spans="1:11" s="14" customFormat="1" x14ac:dyDescent="0.2">
      <c r="A26" s="35">
        <v>1023</v>
      </c>
      <c r="B26" t="s">
        <v>65</v>
      </c>
      <c r="C26" t="s">
        <v>66</v>
      </c>
      <c r="D26" s="18" t="s">
        <v>67</v>
      </c>
      <c r="E26">
        <v>151</v>
      </c>
      <c r="F26" t="s">
        <v>68</v>
      </c>
      <c r="G26"/>
      <c r="H26"/>
      <c r="I26"/>
      <c r="J26"/>
      <c r="K26"/>
    </row>
    <row r="27" spans="1:11" s="14" customFormat="1" ht="25.5" x14ac:dyDescent="0.2">
      <c r="A27" s="35">
        <v>1002</v>
      </c>
      <c r="B27" s="14" t="s">
        <v>65</v>
      </c>
      <c r="C27" s="14" t="s">
        <v>66</v>
      </c>
      <c r="D27" s="55" t="s">
        <v>67</v>
      </c>
      <c r="E27" s="14">
        <v>4</v>
      </c>
      <c r="F27" s="14" t="s">
        <v>74</v>
      </c>
    </row>
    <row r="28" spans="1:11" s="14" customFormat="1" ht="25.5" x14ac:dyDescent="0.2">
      <c r="A28" s="35">
        <v>1025</v>
      </c>
      <c r="B28" s="14" t="s">
        <v>65</v>
      </c>
      <c r="C28" s="14" t="s">
        <v>66</v>
      </c>
      <c r="D28" s="55" t="s">
        <v>67</v>
      </c>
      <c r="E28" s="14">
        <v>9</v>
      </c>
      <c r="F28" s="14" t="s">
        <v>115</v>
      </c>
    </row>
    <row r="29" spans="1:11" s="14" customFormat="1" ht="25.5" x14ac:dyDescent="0.2">
      <c r="A29" s="35">
        <v>1026</v>
      </c>
      <c r="B29" s="14" t="s">
        <v>65</v>
      </c>
      <c r="C29" s="14" t="s">
        <v>66</v>
      </c>
      <c r="D29" s="55" t="s">
        <v>67</v>
      </c>
      <c r="E29" s="14">
        <v>9</v>
      </c>
      <c r="F29" s="14" t="s">
        <v>115</v>
      </c>
    </row>
    <row r="30" spans="1:11" s="14" customFormat="1" ht="25.5" x14ac:dyDescent="0.2">
      <c r="A30" s="35">
        <v>1027</v>
      </c>
      <c r="B30" s="14" t="s">
        <v>65</v>
      </c>
      <c r="C30" s="14" t="s">
        <v>66</v>
      </c>
      <c r="D30" s="55" t="s">
        <v>67</v>
      </c>
      <c r="E30" s="14">
        <v>9</v>
      </c>
      <c r="F30" s="14" t="s">
        <v>115</v>
      </c>
    </row>
    <row r="31" spans="1:11" s="14" customFormat="1" ht="25.5" x14ac:dyDescent="0.2">
      <c r="A31" s="35">
        <v>1028</v>
      </c>
      <c r="B31" s="14" t="s">
        <v>65</v>
      </c>
      <c r="C31" s="14" t="s">
        <v>66</v>
      </c>
      <c r="D31" s="55" t="s">
        <v>67</v>
      </c>
      <c r="E31" s="14">
        <v>7</v>
      </c>
      <c r="F31" s="14" t="s">
        <v>114</v>
      </c>
    </row>
    <row r="32" spans="1:11" s="14" customFormat="1" ht="25.5" x14ac:dyDescent="0.2">
      <c r="A32" s="35">
        <v>1029</v>
      </c>
      <c r="B32" s="14" t="s">
        <v>65</v>
      </c>
      <c r="C32" s="14" t="s">
        <v>66</v>
      </c>
      <c r="D32" s="55" t="s">
        <v>67</v>
      </c>
      <c r="E32" s="14">
        <v>7</v>
      </c>
      <c r="F32" s="14" t="s">
        <v>114</v>
      </c>
    </row>
    <row r="33" spans="1:11" s="14" customFormat="1" ht="25.5" x14ac:dyDescent="0.2">
      <c r="A33" s="35">
        <v>1003</v>
      </c>
      <c r="B33" s="14" t="s">
        <v>65</v>
      </c>
      <c r="C33" s="14" t="s">
        <v>66</v>
      </c>
      <c r="D33" s="55" t="s">
        <v>67</v>
      </c>
      <c r="E33" s="14">
        <v>4</v>
      </c>
      <c r="F33" s="14" t="s">
        <v>74</v>
      </c>
    </row>
    <row r="34" spans="1:11" s="14" customFormat="1" ht="25.5" x14ac:dyDescent="0.2">
      <c r="A34" s="35">
        <v>1031</v>
      </c>
      <c r="B34" s="14" t="s">
        <v>65</v>
      </c>
      <c r="C34" s="14" t="s">
        <v>66</v>
      </c>
      <c r="D34" s="55" t="s">
        <v>67</v>
      </c>
      <c r="E34" s="14">
        <v>9</v>
      </c>
      <c r="F34" s="14" t="s">
        <v>115</v>
      </c>
    </row>
    <row r="35" spans="1:11" s="14" customFormat="1" ht="25.5" x14ac:dyDescent="0.2">
      <c r="A35" s="35">
        <v>1032</v>
      </c>
      <c r="B35" s="14" t="s">
        <v>65</v>
      </c>
      <c r="C35" s="14" t="s">
        <v>66</v>
      </c>
      <c r="D35" s="55" t="s">
        <v>67</v>
      </c>
      <c r="E35" s="14">
        <v>9</v>
      </c>
      <c r="F35" s="14" t="s">
        <v>115</v>
      </c>
    </row>
    <row r="36" spans="1:11" s="14" customFormat="1" ht="25.5" x14ac:dyDescent="0.2">
      <c r="A36" s="35">
        <v>1033</v>
      </c>
      <c r="B36" s="14" t="s">
        <v>65</v>
      </c>
      <c r="C36" s="14" t="s">
        <v>66</v>
      </c>
      <c r="D36" s="55" t="s">
        <v>67</v>
      </c>
      <c r="E36" s="14">
        <v>9</v>
      </c>
      <c r="F36" s="14" t="s">
        <v>115</v>
      </c>
    </row>
    <row r="37" spans="1:11" s="14" customFormat="1" ht="25.5" x14ac:dyDescent="0.2">
      <c r="A37" s="35">
        <v>1034</v>
      </c>
      <c r="B37" s="14" t="s">
        <v>65</v>
      </c>
      <c r="C37" s="14" t="s">
        <v>66</v>
      </c>
      <c r="D37" s="55" t="s">
        <v>67</v>
      </c>
      <c r="E37" s="14">
        <v>7</v>
      </c>
      <c r="F37" s="14" t="s">
        <v>114</v>
      </c>
    </row>
    <row r="38" spans="1:11" s="14" customFormat="1" ht="25.5" x14ac:dyDescent="0.2">
      <c r="A38" s="35">
        <v>1004</v>
      </c>
      <c r="B38" s="14" t="s">
        <v>65</v>
      </c>
      <c r="C38" s="14" t="s">
        <v>66</v>
      </c>
      <c r="D38" s="55" t="s">
        <v>67</v>
      </c>
      <c r="E38" s="14">
        <v>4</v>
      </c>
      <c r="F38" s="14" t="s">
        <v>74</v>
      </c>
    </row>
    <row r="39" spans="1:11" s="14" customFormat="1" ht="25.5" x14ac:dyDescent="0.2">
      <c r="A39" s="35">
        <v>1036</v>
      </c>
      <c r="B39" s="14" t="s">
        <v>65</v>
      </c>
      <c r="C39" s="14" t="s">
        <v>66</v>
      </c>
      <c r="D39" s="55" t="s">
        <v>67</v>
      </c>
      <c r="E39" s="14">
        <v>9</v>
      </c>
      <c r="F39" s="14" t="s">
        <v>115</v>
      </c>
    </row>
    <row r="40" spans="1:11" s="14" customFormat="1" ht="25.5" x14ac:dyDescent="0.2">
      <c r="A40" s="35">
        <v>1037</v>
      </c>
      <c r="B40" s="14" t="s">
        <v>65</v>
      </c>
      <c r="C40" s="14" t="s">
        <v>66</v>
      </c>
      <c r="D40" s="55" t="s">
        <v>67</v>
      </c>
      <c r="E40" s="14">
        <v>9</v>
      </c>
      <c r="F40" s="14" t="s">
        <v>115</v>
      </c>
    </row>
    <row r="41" spans="1:11" s="14" customFormat="1" ht="25.5" x14ac:dyDescent="0.2">
      <c r="A41" s="35">
        <v>1005</v>
      </c>
      <c r="B41" s="14" t="s">
        <v>65</v>
      </c>
      <c r="C41" s="14" t="s">
        <v>66</v>
      </c>
      <c r="D41" s="55" t="s">
        <v>67</v>
      </c>
      <c r="E41" s="14">
        <v>4</v>
      </c>
      <c r="F41" s="14" t="s">
        <v>74</v>
      </c>
    </row>
    <row r="42" spans="1:11" s="14" customFormat="1" ht="25.5" x14ac:dyDescent="0.2">
      <c r="A42" s="35">
        <v>1039</v>
      </c>
      <c r="B42" s="14" t="s">
        <v>65</v>
      </c>
      <c r="C42" s="14" t="s">
        <v>66</v>
      </c>
      <c r="D42" s="55" t="s">
        <v>67</v>
      </c>
      <c r="E42" s="14">
        <v>9</v>
      </c>
      <c r="F42" s="14" t="s">
        <v>115</v>
      </c>
    </row>
    <row r="43" spans="1:11" s="14" customFormat="1" ht="25.5" x14ac:dyDescent="0.2">
      <c r="A43" s="35">
        <v>1006</v>
      </c>
      <c r="B43" s="14" t="s">
        <v>65</v>
      </c>
      <c r="C43" s="14" t="s">
        <v>66</v>
      </c>
      <c r="D43" s="55" t="s">
        <v>67</v>
      </c>
      <c r="E43" s="14">
        <v>9</v>
      </c>
      <c r="F43" s="14" t="s">
        <v>115</v>
      </c>
    </row>
    <row r="44" spans="1:11" s="14" customFormat="1" ht="25.5" x14ac:dyDescent="0.2">
      <c r="A44" s="35">
        <v>1007</v>
      </c>
      <c r="B44" s="14" t="s">
        <v>65</v>
      </c>
      <c r="C44" s="14" t="s">
        <v>66</v>
      </c>
      <c r="D44" s="55" t="s">
        <v>67</v>
      </c>
      <c r="E44" s="14">
        <v>9</v>
      </c>
      <c r="F44" s="14" t="s">
        <v>115</v>
      </c>
    </row>
    <row r="45" spans="1:11" s="14" customFormat="1" ht="25.5" x14ac:dyDescent="0.2">
      <c r="A45" s="35">
        <v>1042</v>
      </c>
      <c r="B45" s="14" t="s">
        <v>65</v>
      </c>
      <c r="C45" s="14" t="s">
        <v>66</v>
      </c>
      <c r="D45" s="55" t="s">
        <v>67</v>
      </c>
      <c r="E45" s="14">
        <v>7</v>
      </c>
      <c r="F45" s="14" t="s">
        <v>114</v>
      </c>
    </row>
    <row r="46" spans="1:11" s="14" customFormat="1" ht="25.5" x14ac:dyDescent="0.2">
      <c r="A46" s="35">
        <v>1008</v>
      </c>
      <c r="B46" s="14" t="s">
        <v>65</v>
      </c>
      <c r="C46" s="14" t="s">
        <v>66</v>
      </c>
      <c r="D46" s="55" t="s">
        <v>67</v>
      </c>
      <c r="E46" s="14">
        <v>7</v>
      </c>
      <c r="F46" s="14" t="s">
        <v>114</v>
      </c>
    </row>
    <row r="47" spans="1:11" s="14" customFormat="1" x14ac:dyDescent="0.2">
      <c r="A47" s="35">
        <v>1044</v>
      </c>
      <c r="B47" s="25" t="s">
        <v>33</v>
      </c>
      <c r="C47" s="25" t="s">
        <v>34</v>
      </c>
      <c r="D47" s="26" t="s">
        <v>35</v>
      </c>
      <c r="E47" s="27">
        <v>384</v>
      </c>
      <c r="F47" s="27">
        <v>9.5</v>
      </c>
      <c r="G47" s="25"/>
      <c r="H47" s="28"/>
      <c r="I47" s="28"/>
      <c r="J47" s="25"/>
      <c r="K47" s="25"/>
    </row>
    <row r="48" spans="1:11" s="14" customFormat="1" x14ac:dyDescent="0.2">
      <c r="A48" s="35">
        <v>1009</v>
      </c>
      <c r="B48" s="25"/>
      <c r="C48" s="25"/>
      <c r="D48" s="26"/>
      <c r="E48" s="27"/>
      <c r="F48" s="27"/>
      <c r="G48" s="25"/>
      <c r="H48" s="28"/>
      <c r="I48" s="28"/>
      <c r="J48" s="25"/>
      <c r="K48" s="25"/>
    </row>
    <row r="49" spans="1:11" s="14" customFormat="1" x14ac:dyDescent="0.2">
      <c r="A49" s="35">
        <v>1046</v>
      </c>
      <c r="B49" t="s">
        <v>65</v>
      </c>
      <c r="C49" t="s">
        <v>66</v>
      </c>
      <c r="D49" s="18" t="s">
        <v>67</v>
      </c>
      <c r="E49">
        <v>388</v>
      </c>
      <c r="F49" t="s">
        <v>69</v>
      </c>
      <c r="G49"/>
      <c r="H49"/>
      <c r="I49"/>
      <c r="J49"/>
      <c r="K49"/>
    </row>
    <row r="50" spans="1:11" s="14" customFormat="1" x14ac:dyDescent="0.2">
      <c r="A50" s="35">
        <v>1047</v>
      </c>
      <c r="B50" t="s">
        <v>65</v>
      </c>
      <c r="C50" t="s">
        <v>66</v>
      </c>
      <c r="D50" s="18" t="s">
        <v>67</v>
      </c>
      <c r="E50">
        <v>396</v>
      </c>
      <c r="F50" t="s">
        <v>70</v>
      </c>
      <c r="G50"/>
      <c r="H50" s="19"/>
      <c r="I50"/>
      <c r="J50"/>
      <c r="K50"/>
    </row>
    <row r="51" spans="1:11" s="14" customFormat="1" x14ac:dyDescent="0.2">
      <c r="A51" s="35">
        <v>1010</v>
      </c>
      <c r="B51"/>
      <c r="C51"/>
      <c r="D51" s="18"/>
      <c r="E51"/>
      <c r="F51"/>
      <c r="G51"/>
      <c r="H51" s="19"/>
      <c r="I51" s="19"/>
      <c r="J51"/>
      <c r="K51"/>
    </row>
    <row r="52" spans="1:11" s="14" customFormat="1" x14ac:dyDescent="0.2">
      <c r="A52" s="35">
        <v>1011</v>
      </c>
      <c r="B52"/>
      <c r="C52"/>
      <c r="D52" s="18"/>
      <c r="E52"/>
      <c r="F52"/>
      <c r="G52"/>
      <c r="H52" s="19"/>
      <c r="I52" s="19"/>
      <c r="J52"/>
      <c r="K52"/>
    </row>
    <row r="53" spans="1:11" s="14" customFormat="1" x14ac:dyDescent="0.2">
      <c r="A53" s="35">
        <v>1012</v>
      </c>
      <c r="B53"/>
      <c r="C53"/>
      <c r="D53" s="18"/>
      <c r="E53"/>
      <c r="F53"/>
      <c r="G53"/>
      <c r="H53" s="19"/>
      <c r="I53" s="19"/>
      <c r="J53"/>
      <c r="K53"/>
    </row>
    <row r="54" spans="1:11" s="14" customFormat="1" x14ac:dyDescent="0.2">
      <c r="A54" s="35">
        <v>1013</v>
      </c>
      <c r="B54" s="25"/>
      <c r="C54" s="25"/>
      <c r="D54" s="31"/>
      <c r="E54" s="27"/>
      <c r="F54" s="27"/>
      <c r="G54" s="25"/>
      <c r="H54" s="32"/>
      <c r="I54" s="32"/>
      <c r="J54" s="25"/>
      <c r="K54" s="25"/>
    </row>
    <row r="55" spans="1:11" s="14" customFormat="1" x14ac:dyDescent="0.2">
      <c r="A55" s="35">
        <v>1014</v>
      </c>
      <c r="B55"/>
      <c r="C55"/>
      <c r="D55" s="18"/>
      <c r="E55"/>
      <c r="F55"/>
      <c r="G55"/>
      <c r="H55" s="19"/>
      <c r="I55" s="19"/>
      <c r="J55"/>
      <c r="K55"/>
    </row>
    <row r="56" spans="1:11" s="14" customFormat="1" x14ac:dyDescent="0.2">
      <c r="A56" s="35">
        <v>1015</v>
      </c>
      <c r="B56"/>
      <c r="C56"/>
      <c r="D56" s="18"/>
      <c r="E56"/>
      <c r="F56" s="20"/>
      <c r="G56"/>
      <c r="H56" s="19"/>
      <c r="I56" s="19"/>
      <c r="J56" s="25"/>
      <c r="K56"/>
    </row>
    <row r="57" spans="1:11" s="14" customFormat="1" x14ac:dyDescent="0.2">
      <c r="A57" s="35">
        <v>1016</v>
      </c>
      <c r="B57" s="19"/>
      <c r="C57" s="19"/>
      <c r="D57" s="21"/>
      <c r="E57" s="19"/>
      <c r="F57" s="20"/>
      <c r="G57"/>
      <c r="H57" s="19"/>
      <c r="I57" s="19"/>
      <c r="J57" s="19"/>
      <c r="K57" s="19"/>
    </row>
    <row r="58" spans="1:11" s="14" customFormat="1" x14ac:dyDescent="0.2">
      <c r="A58" s="35">
        <v>1055</v>
      </c>
      <c r="B58" t="s">
        <v>28</v>
      </c>
      <c r="C58" t="s">
        <v>29</v>
      </c>
      <c r="D58" s="23" t="s">
        <v>30</v>
      </c>
      <c r="E58">
        <v>403</v>
      </c>
      <c r="F58" t="s">
        <v>42</v>
      </c>
      <c r="G58"/>
      <c r="H58" s="19"/>
      <c r="I58" s="19"/>
      <c r="J58"/>
      <c r="K58"/>
    </row>
    <row r="59" spans="1:11" s="14" customFormat="1" x14ac:dyDescent="0.2">
      <c r="A59" s="35">
        <v>1056</v>
      </c>
      <c r="B59" t="s">
        <v>28</v>
      </c>
      <c r="C59" t="s">
        <v>29</v>
      </c>
      <c r="D59" s="23" t="s">
        <v>30</v>
      </c>
      <c r="E59">
        <v>406</v>
      </c>
      <c r="F59" t="s">
        <v>27</v>
      </c>
      <c r="G59"/>
      <c r="H59" s="19"/>
      <c r="I59" s="19"/>
      <c r="J59"/>
      <c r="K59"/>
    </row>
    <row r="60" spans="1:11" s="14" customFormat="1" x14ac:dyDescent="0.2">
      <c r="A60" s="35">
        <v>1057</v>
      </c>
      <c r="B60" t="s">
        <v>28</v>
      </c>
      <c r="C60" t="s">
        <v>29</v>
      </c>
      <c r="D60" s="23" t="s">
        <v>30</v>
      </c>
      <c r="E60">
        <v>406</v>
      </c>
      <c r="F60" t="s">
        <v>27</v>
      </c>
      <c r="G60"/>
      <c r="H60" s="19"/>
      <c r="I60" s="19"/>
      <c r="J60"/>
      <c r="K60"/>
    </row>
    <row r="61" spans="1:11" s="14" customFormat="1" x14ac:dyDescent="0.2">
      <c r="A61" s="35">
        <v>1058</v>
      </c>
      <c r="B61" t="s">
        <v>28</v>
      </c>
      <c r="C61" t="s">
        <v>29</v>
      </c>
      <c r="D61" s="23" t="s">
        <v>30</v>
      </c>
      <c r="E61">
        <v>410</v>
      </c>
      <c r="F61">
        <v>9.3000000000000007</v>
      </c>
      <c r="G61"/>
      <c r="H61" s="19"/>
      <c r="I61" s="19"/>
      <c r="J61"/>
      <c r="K61"/>
    </row>
    <row r="62" spans="1:11" s="14" customFormat="1" x14ac:dyDescent="0.2">
      <c r="A62" s="35">
        <v>1059</v>
      </c>
      <c r="B62" t="s">
        <v>28</v>
      </c>
      <c r="C62" t="s">
        <v>29</v>
      </c>
      <c r="D62" s="23" t="s">
        <v>30</v>
      </c>
      <c r="E62">
        <v>410</v>
      </c>
      <c r="F62" t="s">
        <v>74</v>
      </c>
      <c r="G62"/>
      <c r="H62" s="19"/>
      <c r="I62" s="19"/>
      <c r="J62"/>
      <c r="K62"/>
    </row>
    <row r="63" spans="1:11" s="14" customFormat="1" x14ac:dyDescent="0.2">
      <c r="A63" s="35">
        <v>1060</v>
      </c>
      <c r="B63" t="s">
        <v>28</v>
      </c>
      <c r="C63" t="s">
        <v>29</v>
      </c>
      <c r="D63" s="23" t="s">
        <v>30</v>
      </c>
      <c r="E63">
        <v>410</v>
      </c>
      <c r="F63" t="s">
        <v>46</v>
      </c>
      <c r="G63"/>
      <c r="H63" s="19"/>
      <c r="I63" s="19"/>
      <c r="J63"/>
      <c r="K63"/>
    </row>
    <row r="64" spans="1:11" s="14" customFormat="1" x14ac:dyDescent="0.2">
      <c r="A64" s="35">
        <v>1061</v>
      </c>
      <c r="B64" t="s">
        <v>28</v>
      </c>
      <c r="C64" t="s">
        <v>29</v>
      </c>
      <c r="D64" s="23" t="s">
        <v>30</v>
      </c>
      <c r="E64">
        <v>410</v>
      </c>
      <c r="F64" t="s">
        <v>46</v>
      </c>
      <c r="G64"/>
      <c r="H64" s="19"/>
      <c r="I64" s="19"/>
      <c r="J64"/>
      <c r="K64"/>
    </row>
    <row r="65" spans="1:11" s="14" customFormat="1" x14ac:dyDescent="0.2">
      <c r="A65" s="35">
        <v>1062</v>
      </c>
      <c r="B65" t="s">
        <v>28</v>
      </c>
      <c r="C65" t="s">
        <v>29</v>
      </c>
      <c r="D65" s="23" t="s">
        <v>30</v>
      </c>
      <c r="E65">
        <v>410</v>
      </c>
      <c r="F65" t="s">
        <v>46</v>
      </c>
      <c r="G65"/>
      <c r="H65" s="19"/>
      <c r="I65" s="19"/>
      <c r="J65"/>
      <c r="K65"/>
    </row>
    <row r="66" spans="1:11" s="14" customFormat="1" x14ac:dyDescent="0.2">
      <c r="A66" s="35">
        <v>1063</v>
      </c>
      <c r="B66" t="s">
        <v>28</v>
      </c>
      <c r="C66" t="s">
        <v>29</v>
      </c>
      <c r="D66" s="23" t="s">
        <v>30</v>
      </c>
      <c r="E66">
        <v>410</v>
      </c>
      <c r="F66" t="s">
        <v>75</v>
      </c>
      <c r="G66"/>
      <c r="H66" s="19"/>
      <c r="I66" s="19"/>
      <c r="J66"/>
      <c r="K66"/>
    </row>
    <row r="67" spans="1:11" s="14" customFormat="1" x14ac:dyDescent="0.2">
      <c r="A67" s="35">
        <v>1064</v>
      </c>
      <c r="B67" t="s">
        <v>28</v>
      </c>
      <c r="C67" t="s">
        <v>29</v>
      </c>
      <c r="D67" s="23" t="s">
        <v>30</v>
      </c>
      <c r="E67">
        <v>410</v>
      </c>
      <c r="F67" t="s">
        <v>75</v>
      </c>
      <c r="G67"/>
      <c r="H67" s="19"/>
      <c r="I67" s="19"/>
      <c r="J67"/>
      <c r="K67"/>
    </row>
    <row r="68" spans="1:11" s="14" customFormat="1" x14ac:dyDescent="0.2">
      <c r="A68" s="35">
        <v>1065</v>
      </c>
      <c r="B68" t="s">
        <v>28</v>
      </c>
      <c r="C68" t="s">
        <v>29</v>
      </c>
      <c r="D68" s="23" t="s">
        <v>30</v>
      </c>
      <c r="E68">
        <v>411</v>
      </c>
      <c r="F68" t="s">
        <v>76</v>
      </c>
      <c r="G68"/>
      <c r="H68" s="19"/>
      <c r="I68" s="19"/>
      <c r="J68"/>
      <c r="K68"/>
    </row>
    <row r="69" spans="1:11" s="14" customFormat="1" x14ac:dyDescent="0.2">
      <c r="A69" s="35">
        <v>1066</v>
      </c>
      <c r="B69" t="s">
        <v>28</v>
      </c>
      <c r="C69" t="s">
        <v>29</v>
      </c>
      <c r="D69" s="23" t="s">
        <v>30</v>
      </c>
      <c r="E69">
        <v>411</v>
      </c>
      <c r="F69" t="s">
        <v>76</v>
      </c>
      <c r="G69"/>
      <c r="H69" s="19"/>
      <c r="I69" s="19"/>
      <c r="J69"/>
      <c r="K69"/>
    </row>
    <row r="70" spans="1:11" s="14" customFormat="1" x14ac:dyDescent="0.2">
      <c r="A70" s="35">
        <v>1067</v>
      </c>
      <c r="B70" t="s">
        <v>28</v>
      </c>
      <c r="C70" t="s">
        <v>29</v>
      </c>
      <c r="D70" s="23" t="s">
        <v>30</v>
      </c>
      <c r="E70">
        <v>411</v>
      </c>
      <c r="F70" t="s">
        <v>76</v>
      </c>
      <c r="G70"/>
      <c r="H70" s="19"/>
      <c r="I70" s="19"/>
      <c r="J70"/>
      <c r="K70"/>
    </row>
    <row r="71" spans="1:11" s="14" customFormat="1" x14ac:dyDescent="0.2">
      <c r="A71" s="35">
        <v>1068</v>
      </c>
      <c r="B71" t="s">
        <v>28</v>
      </c>
      <c r="C71" t="s">
        <v>29</v>
      </c>
      <c r="D71" s="23" t="s">
        <v>30</v>
      </c>
      <c r="E71">
        <v>411</v>
      </c>
      <c r="F71" t="s">
        <v>77</v>
      </c>
      <c r="G71"/>
      <c r="H71" s="19"/>
      <c r="I71" s="19"/>
      <c r="J71"/>
      <c r="K71"/>
    </row>
    <row r="72" spans="1:11" s="14" customFormat="1" x14ac:dyDescent="0.2">
      <c r="A72" s="35">
        <v>1069</v>
      </c>
      <c r="B72" t="s">
        <v>28</v>
      </c>
      <c r="C72" t="s">
        <v>29</v>
      </c>
      <c r="D72" s="23" t="s">
        <v>30</v>
      </c>
      <c r="E72">
        <v>411</v>
      </c>
      <c r="F72" t="s">
        <v>77</v>
      </c>
      <c r="G72"/>
      <c r="H72" s="19"/>
      <c r="I72" s="19"/>
      <c r="J72"/>
      <c r="K72"/>
    </row>
    <row r="73" spans="1:11" s="14" customFormat="1" x14ac:dyDescent="0.2">
      <c r="A73" s="35">
        <v>1070</v>
      </c>
      <c r="B73" t="s">
        <v>28</v>
      </c>
      <c r="C73" t="s">
        <v>29</v>
      </c>
      <c r="D73" s="23" t="s">
        <v>30</v>
      </c>
      <c r="E73">
        <v>411</v>
      </c>
      <c r="F73" t="s">
        <v>77</v>
      </c>
      <c r="G73"/>
      <c r="H73" s="19"/>
      <c r="I73" s="19"/>
      <c r="J73"/>
      <c r="K73"/>
    </row>
    <row r="74" spans="1:11" s="14" customFormat="1" x14ac:dyDescent="0.2">
      <c r="A74" s="35">
        <v>1071</v>
      </c>
      <c r="B74" t="s">
        <v>28</v>
      </c>
      <c r="C74" t="s">
        <v>29</v>
      </c>
      <c r="D74" s="23" t="s">
        <v>30</v>
      </c>
      <c r="E74">
        <v>412</v>
      </c>
      <c r="F74" t="s">
        <v>78</v>
      </c>
      <c r="G74"/>
      <c r="H74" s="19"/>
      <c r="I74" s="19"/>
      <c r="J74"/>
      <c r="K74"/>
    </row>
    <row r="75" spans="1:11" s="14" customFormat="1" x14ac:dyDescent="0.2">
      <c r="A75" s="35">
        <v>1072</v>
      </c>
      <c r="B75" t="s">
        <v>28</v>
      </c>
      <c r="C75" t="s">
        <v>29</v>
      </c>
      <c r="D75" s="23" t="s">
        <v>30</v>
      </c>
      <c r="E75">
        <v>412</v>
      </c>
      <c r="F75" t="s">
        <v>78</v>
      </c>
      <c r="G75"/>
      <c r="H75" s="19"/>
      <c r="I75" s="19"/>
      <c r="J75"/>
      <c r="K75"/>
    </row>
    <row r="76" spans="1:11" s="14" customFormat="1" x14ac:dyDescent="0.2">
      <c r="A76" s="35">
        <v>1073</v>
      </c>
      <c r="B76" t="s">
        <v>28</v>
      </c>
      <c r="C76" t="s">
        <v>29</v>
      </c>
      <c r="D76" s="23" t="s">
        <v>30</v>
      </c>
      <c r="E76">
        <v>412</v>
      </c>
      <c r="F76" t="s">
        <v>79</v>
      </c>
      <c r="G76"/>
      <c r="H76" s="19"/>
      <c r="I76" s="19"/>
      <c r="J76"/>
      <c r="K76"/>
    </row>
    <row r="77" spans="1:11" s="14" customFormat="1" x14ac:dyDescent="0.2">
      <c r="A77" s="35">
        <v>1074</v>
      </c>
      <c r="B77" t="s">
        <v>28</v>
      </c>
      <c r="C77" t="s">
        <v>29</v>
      </c>
      <c r="D77" s="23" t="s">
        <v>30</v>
      </c>
      <c r="E77">
        <v>412</v>
      </c>
      <c r="F77" t="s">
        <v>80</v>
      </c>
      <c r="G77"/>
      <c r="H77" s="19"/>
      <c r="I77" s="19"/>
      <c r="J77"/>
      <c r="K77"/>
    </row>
    <row r="78" spans="1:11" s="14" customFormat="1" x14ac:dyDescent="0.2">
      <c r="A78" s="35">
        <v>1075</v>
      </c>
      <c r="B78" t="s">
        <v>28</v>
      </c>
      <c r="C78" t="s">
        <v>29</v>
      </c>
      <c r="D78" s="23" t="s">
        <v>30</v>
      </c>
      <c r="E78">
        <v>412</v>
      </c>
      <c r="F78" t="s">
        <v>81</v>
      </c>
      <c r="G78"/>
      <c r="H78" s="19"/>
      <c r="I78" s="19"/>
      <c r="J78"/>
      <c r="K78"/>
    </row>
    <row r="79" spans="1:11" s="14" customFormat="1" x14ac:dyDescent="0.2">
      <c r="A79" s="35">
        <v>1076</v>
      </c>
      <c r="B79" t="s">
        <v>28</v>
      </c>
      <c r="C79" t="s">
        <v>29</v>
      </c>
      <c r="D79" s="23" t="s">
        <v>30</v>
      </c>
      <c r="E79">
        <v>413</v>
      </c>
      <c r="F79" t="s">
        <v>82</v>
      </c>
      <c r="G79"/>
      <c r="H79" s="19"/>
      <c r="I79" s="19"/>
      <c r="J79"/>
      <c r="K79"/>
    </row>
    <row r="80" spans="1:11" s="14" customFormat="1" x14ac:dyDescent="0.2">
      <c r="A80" s="35">
        <v>1077</v>
      </c>
      <c r="B80" t="s">
        <v>28</v>
      </c>
      <c r="C80" t="s">
        <v>29</v>
      </c>
      <c r="D80" s="23" t="s">
        <v>30</v>
      </c>
      <c r="E80">
        <v>413</v>
      </c>
      <c r="F80" t="s">
        <v>82</v>
      </c>
      <c r="G80"/>
      <c r="H80" s="19"/>
      <c r="I80" s="19"/>
      <c r="J80"/>
      <c r="K80"/>
    </row>
    <row r="81" spans="1:11" s="14" customFormat="1" x14ac:dyDescent="0.2">
      <c r="A81" s="35">
        <v>1078</v>
      </c>
      <c r="B81" t="s">
        <v>28</v>
      </c>
      <c r="C81" t="s">
        <v>29</v>
      </c>
      <c r="D81" s="23" t="s">
        <v>30</v>
      </c>
      <c r="E81">
        <v>413</v>
      </c>
      <c r="F81" t="s">
        <v>83</v>
      </c>
      <c r="G81"/>
      <c r="H81" s="19"/>
      <c r="I81" s="19"/>
      <c r="J81"/>
      <c r="K81"/>
    </row>
    <row r="82" spans="1:11" s="14" customFormat="1" x14ac:dyDescent="0.2">
      <c r="A82" s="35">
        <v>1079</v>
      </c>
      <c r="B82" t="s">
        <v>28</v>
      </c>
      <c r="C82" t="s">
        <v>29</v>
      </c>
      <c r="D82" s="23" t="s">
        <v>30</v>
      </c>
      <c r="E82">
        <v>413</v>
      </c>
      <c r="F82" t="s">
        <v>84</v>
      </c>
      <c r="G82"/>
      <c r="H82" s="19"/>
      <c r="I82" s="19"/>
      <c r="J82"/>
      <c r="K82"/>
    </row>
    <row r="83" spans="1:11" s="14" customFormat="1" x14ac:dyDescent="0.2">
      <c r="A83" s="35">
        <v>1080</v>
      </c>
      <c r="B83" t="s">
        <v>28</v>
      </c>
      <c r="C83" t="s">
        <v>29</v>
      </c>
      <c r="D83" s="23" t="s">
        <v>30</v>
      </c>
      <c r="E83">
        <v>416</v>
      </c>
      <c r="F83" t="s">
        <v>85</v>
      </c>
      <c r="G83"/>
      <c r="H83" s="19"/>
      <c r="I83" s="19"/>
      <c r="J83"/>
      <c r="K83"/>
    </row>
    <row r="84" spans="1:11" s="14" customFormat="1" x14ac:dyDescent="0.2">
      <c r="A84" s="35">
        <v>1081</v>
      </c>
      <c r="B84" t="s">
        <v>28</v>
      </c>
      <c r="C84" t="s">
        <v>29</v>
      </c>
      <c r="D84" s="23" t="s">
        <v>30</v>
      </c>
      <c r="E84">
        <v>636</v>
      </c>
      <c r="F84" t="s">
        <v>86</v>
      </c>
      <c r="G84"/>
      <c r="H84" s="19"/>
      <c r="I84" s="19"/>
      <c r="J84"/>
      <c r="K84"/>
    </row>
    <row r="85" spans="1:11" s="14" customFormat="1" x14ac:dyDescent="0.2">
      <c r="A85" s="35">
        <v>1017</v>
      </c>
      <c r="B85"/>
      <c r="C85"/>
      <c r="D85" s="23"/>
      <c r="E85"/>
      <c r="F85"/>
      <c r="G85"/>
      <c r="H85" s="19"/>
      <c r="I85" s="19"/>
      <c r="J85"/>
      <c r="K85"/>
    </row>
    <row r="86" spans="1:11" s="14" customFormat="1" x14ac:dyDescent="0.2">
      <c r="A86" s="35"/>
      <c r="B86"/>
      <c r="C86"/>
      <c r="D86" s="19"/>
      <c r="E86"/>
      <c r="F86"/>
      <c r="G86"/>
      <c r="H86" s="19"/>
      <c r="I86" s="19"/>
      <c r="J86"/>
      <c r="K86"/>
    </row>
    <row r="87" spans="1:11" s="14" customFormat="1" x14ac:dyDescent="0.2">
      <c r="A87" s="35"/>
      <c r="B87"/>
      <c r="C87"/>
      <c r="D87" s="19"/>
      <c r="E87"/>
      <c r="F87"/>
      <c r="G87"/>
      <c r="H87" s="19"/>
      <c r="I87" s="19"/>
      <c r="J87"/>
      <c r="K87"/>
    </row>
    <row r="88" spans="1:11" s="14" customFormat="1" x14ac:dyDescent="0.2">
      <c r="A88" s="35"/>
      <c r="B88"/>
      <c r="C88"/>
      <c r="D88" s="19"/>
      <c r="E88"/>
      <c r="F88"/>
      <c r="G88"/>
      <c r="H88" s="19"/>
      <c r="I88" s="19"/>
      <c r="J88"/>
      <c r="K88" s="22"/>
    </row>
    <row r="89" spans="1:11" s="14" customFormat="1" x14ac:dyDescent="0.2">
      <c r="A89" s="35"/>
      <c r="B89"/>
      <c r="C89"/>
      <c r="D89" s="19"/>
      <c r="E89"/>
      <c r="F89"/>
      <c r="G89"/>
      <c r="H89" s="19"/>
      <c r="I89" s="19"/>
      <c r="J89"/>
      <c r="K89"/>
    </row>
    <row r="90" spans="1:11" s="14" customFormat="1" x14ac:dyDescent="0.2">
      <c r="A90" s="35"/>
      <c r="B90"/>
      <c r="C90"/>
      <c r="D90" s="19"/>
      <c r="E90"/>
      <c r="F90"/>
      <c r="G90"/>
      <c r="H90" s="19"/>
      <c r="I90" s="19"/>
      <c r="J90"/>
      <c r="K90"/>
    </row>
    <row r="91" spans="1:11" s="14" customFormat="1" x14ac:dyDescent="0.2">
      <c r="A91" s="35"/>
      <c r="B91"/>
      <c r="C91"/>
      <c r="D91" s="19"/>
      <c r="E91"/>
      <c r="F91"/>
      <c r="G91"/>
      <c r="H91" s="19"/>
      <c r="I91" s="19"/>
      <c r="J91"/>
      <c r="K91"/>
    </row>
    <row r="92" spans="1:11" s="14" customFormat="1" x14ac:dyDescent="0.2">
      <c r="A92" s="35"/>
      <c r="B92"/>
      <c r="C92"/>
      <c r="D92" s="19"/>
      <c r="E92"/>
      <c r="F92"/>
      <c r="G92"/>
      <c r="H92" s="19"/>
      <c r="I92" s="19"/>
      <c r="J92"/>
      <c r="K92"/>
    </row>
    <row r="93" spans="1:11" s="14" customFormat="1" x14ac:dyDescent="0.2">
      <c r="A93" s="35"/>
      <c r="B93"/>
      <c r="C93"/>
      <c r="D93" s="19"/>
      <c r="E93"/>
      <c r="F93"/>
      <c r="G93"/>
      <c r="H93" s="19"/>
      <c r="I93" s="19"/>
      <c r="J93"/>
      <c r="K93"/>
    </row>
    <row r="94" spans="1:11" s="14" customFormat="1" x14ac:dyDescent="0.2">
      <c r="A94" s="35"/>
      <c r="B94"/>
      <c r="C94"/>
      <c r="D94" s="19"/>
      <c r="E94"/>
      <c r="F94"/>
      <c r="G94"/>
      <c r="H94" s="19"/>
      <c r="I94" s="19"/>
      <c r="J94"/>
      <c r="K94"/>
    </row>
    <row r="95" spans="1:11" s="14" customFormat="1" x14ac:dyDescent="0.2">
      <c r="A95" s="35"/>
      <c r="B95"/>
      <c r="C95"/>
      <c r="D95" s="19"/>
      <c r="E95"/>
      <c r="F95"/>
      <c r="G95"/>
      <c r="H95" s="19"/>
      <c r="I95" s="19"/>
      <c r="J95"/>
      <c r="K95"/>
    </row>
    <row r="96" spans="1:11" s="14" customFormat="1" x14ac:dyDescent="0.2">
      <c r="A96" s="35"/>
      <c r="B96"/>
      <c r="C96"/>
      <c r="D96" s="19"/>
      <c r="E96"/>
      <c r="F96"/>
      <c r="G96"/>
      <c r="H96" s="19"/>
      <c r="I96" s="19"/>
      <c r="J96"/>
      <c r="K96"/>
    </row>
    <row r="97" spans="1:11" s="14" customFormat="1" x14ac:dyDescent="0.2">
      <c r="A97" s="35"/>
      <c r="B97"/>
      <c r="C97"/>
      <c r="D97" s="19"/>
      <c r="E97"/>
      <c r="F97"/>
      <c r="G97"/>
      <c r="H97" s="19"/>
      <c r="I97" s="19"/>
      <c r="J97"/>
      <c r="K97"/>
    </row>
    <row r="98" spans="1:11" s="14" customFormat="1" x14ac:dyDescent="0.2">
      <c r="A98" s="35"/>
      <c r="B98"/>
      <c r="C98"/>
      <c r="D98" s="19"/>
      <c r="E98"/>
      <c r="F98"/>
      <c r="G98"/>
      <c r="H98" s="19"/>
      <c r="I98" s="19"/>
      <c r="J98"/>
      <c r="K98"/>
    </row>
    <row r="99" spans="1:11" s="14" customFormat="1" x14ac:dyDescent="0.2">
      <c r="A99" s="35"/>
      <c r="B99"/>
      <c r="C99"/>
      <c r="D99" s="23"/>
      <c r="E99"/>
      <c r="F99"/>
      <c r="G99"/>
      <c r="H99" s="19"/>
      <c r="I99" s="19"/>
      <c r="J99"/>
      <c r="K99"/>
    </row>
    <row r="100" spans="1:11" s="14" customFormat="1" x14ac:dyDescent="0.2">
      <c r="A100" s="35"/>
      <c r="B100"/>
      <c r="C100"/>
      <c r="D100" s="23"/>
      <c r="E100"/>
      <c r="F100"/>
      <c r="G100"/>
      <c r="H100" s="19"/>
      <c r="I100" s="19"/>
      <c r="J100"/>
      <c r="K100"/>
    </row>
    <row r="101" spans="1:11" s="14" customFormat="1" x14ac:dyDescent="0.2">
      <c r="A101" s="35"/>
      <c r="B101"/>
      <c r="C101"/>
      <c r="D101" s="23"/>
      <c r="E101"/>
      <c r="F101"/>
      <c r="G101"/>
      <c r="H101" s="19"/>
      <c r="I101" s="19"/>
      <c r="J101"/>
      <c r="K101"/>
    </row>
    <row r="102" spans="1:11" s="14" customFormat="1" x14ac:dyDescent="0.2">
      <c r="A102" s="35"/>
      <c r="B102"/>
      <c r="C102"/>
      <c r="D102" s="23"/>
      <c r="E102"/>
      <c r="F102"/>
      <c r="G102"/>
      <c r="H102" s="19"/>
      <c r="I102" s="19"/>
      <c r="J102"/>
      <c r="K102"/>
    </row>
    <row r="103" spans="1:11" s="14" customFormat="1" x14ac:dyDescent="0.2">
      <c r="A103" s="35"/>
      <c r="B103"/>
      <c r="C103"/>
      <c r="D103" s="23"/>
      <c r="E103"/>
      <c r="F103"/>
      <c r="G103"/>
      <c r="H103" s="19"/>
      <c r="I103" s="19"/>
      <c r="J103"/>
      <c r="K103"/>
    </row>
    <row r="104" spans="1:11" s="14" customFormat="1" x14ac:dyDescent="0.2">
      <c r="A104" s="35"/>
      <c r="B104"/>
      <c r="C104"/>
      <c r="D104" s="23"/>
      <c r="E104"/>
      <c r="F104"/>
      <c r="G104"/>
      <c r="H104" s="19"/>
      <c r="I104" s="19"/>
      <c r="J104"/>
      <c r="K104"/>
    </row>
    <row r="105" spans="1:11" s="14" customFormat="1" x14ac:dyDescent="0.2">
      <c r="A105" s="35"/>
      <c r="B105"/>
      <c r="C105"/>
      <c r="D105" s="23"/>
      <c r="E105"/>
      <c r="F105"/>
      <c r="G105"/>
      <c r="H105" s="19"/>
      <c r="I105" s="19"/>
      <c r="J105"/>
      <c r="K105"/>
    </row>
    <row r="106" spans="1:11" s="14" customFormat="1" x14ac:dyDescent="0.2">
      <c r="A106" s="35"/>
      <c r="B106"/>
      <c r="C106"/>
      <c r="D106" s="23"/>
      <c r="E106"/>
      <c r="F106"/>
      <c r="G106"/>
      <c r="H106" s="19"/>
      <c r="I106" s="19"/>
      <c r="J106"/>
      <c r="K106"/>
    </row>
    <row r="107" spans="1:11" s="14" customFormat="1" x14ac:dyDescent="0.2">
      <c r="A107" s="35"/>
      <c r="B107"/>
      <c r="C107"/>
      <c r="D107" s="23"/>
      <c r="E107"/>
      <c r="F107"/>
      <c r="G107"/>
      <c r="H107" s="19"/>
      <c r="I107" s="19"/>
      <c r="J107"/>
      <c r="K107"/>
    </row>
    <row r="108" spans="1:11" s="14" customFormat="1" x14ac:dyDescent="0.2">
      <c r="A108" s="35"/>
      <c r="B108"/>
      <c r="C108"/>
      <c r="D108" s="23"/>
      <c r="E108"/>
      <c r="F108"/>
      <c r="G108"/>
      <c r="H108" s="19"/>
      <c r="I108" s="19"/>
      <c r="J108"/>
      <c r="K108"/>
    </row>
    <row r="109" spans="1:11" s="14" customFormat="1" x14ac:dyDescent="0.2">
      <c r="A109" s="35"/>
      <c r="B109"/>
      <c r="C109"/>
      <c r="D109" s="23"/>
      <c r="E109"/>
      <c r="F109"/>
      <c r="G109"/>
      <c r="H109" s="19"/>
      <c r="I109" s="19"/>
      <c r="J109"/>
      <c r="K109"/>
    </row>
    <row r="110" spans="1:11" s="14" customFormat="1" x14ac:dyDescent="0.2">
      <c r="A110" s="35"/>
      <c r="B110"/>
      <c r="C110"/>
      <c r="D110" s="23"/>
      <c r="E110"/>
      <c r="F110"/>
      <c r="G110"/>
      <c r="H110" s="19"/>
      <c r="I110" s="19"/>
      <c r="J110"/>
      <c r="K110"/>
    </row>
    <row r="111" spans="1:11" s="14" customFormat="1" x14ac:dyDescent="0.2">
      <c r="A111" s="35"/>
      <c r="B111"/>
      <c r="C111"/>
      <c r="D111" s="23"/>
      <c r="E111"/>
      <c r="F111"/>
      <c r="G111"/>
      <c r="H111" s="19"/>
      <c r="I111" s="19"/>
      <c r="J111"/>
      <c r="K111"/>
    </row>
    <row r="112" spans="1:11" s="14" customFormat="1" x14ac:dyDescent="0.2">
      <c r="A112" s="35"/>
      <c r="B112"/>
      <c r="C112"/>
      <c r="D112" s="23"/>
      <c r="E112"/>
      <c r="F112"/>
      <c r="G112"/>
      <c r="H112" s="19"/>
      <c r="I112" s="19"/>
      <c r="J112"/>
      <c r="K112"/>
    </row>
    <row r="113" spans="1:11" s="14" customFormat="1" x14ac:dyDescent="0.2">
      <c r="A113" s="35"/>
      <c r="B113"/>
      <c r="C113"/>
      <c r="D113" s="23"/>
      <c r="E113"/>
      <c r="F113"/>
      <c r="G113"/>
      <c r="H113" s="19"/>
      <c r="I113" s="19"/>
      <c r="J113"/>
      <c r="K113"/>
    </row>
    <row r="114" spans="1:11" s="14" customFormat="1" x14ac:dyDescent="0.2">
      <c r="A114" s="35"/>
      <c r="B114"/>
      <c r="C114"/>
      <c r="D114" s="23"/>
      <c r="E114"/>
      <c r="F114"/>
      <c r="G114"/>
      <c r="H114" s="19"/>
      <c r="I114" s="19"/>
      <c r="J114"/>
      <c r="K114"/>
    </row>
    <row r="115" spans="1:11" s="14" customFormat="1" x14ac:dyDescent="0.2">
      <c r="A115" s="35"/>
      <c r="B115"/>
      <c r="C115"/>
      <c r="D115" s="23"/>
      <c r="E115"/>
      <c r="F115"/>
      <c r="G115"/>
      <c r="H115" s="19"/>
      <c r="I115" s="19"/>
      <c r="J115"/>
      <c r="K115"/>
    </row>
    <row r="116" spans="1:11" s="14" customFormat="1" x14ac:dyDescent="0.2">
      <c r="A116" s="35"/>
      <c r="B116"/>
      <c r="C116"/>
      <c r="D116" s="23"/>
      <c r="E116"/>
      <c r="F116"/>
      <c r="G116"/>
      <c r="H116" s="19"/>
      <c r="I116" s="19"/>
      <c r="J116"/>
      <c r="K116"/>
    </row>
    <row r="117" spans="1:11" s="14" customFormat="1" x14ac:dyDescent="0.2">
      <c r="A117" s="35"/>
      <c r="B117"/>
      <c r="C117"/>
      <c r="D117" s="23"/>
      <c r="E117"/>
      <c r="F117"/>
      <c r="G117"/>
      <c r="H117" s="19"/>
      <c r="I117" s="24"/>
      <c r="J117"/>
      <c r="K117"/>
    </row>
    <row r="118" spans="1:11" s="14" customFormat="1" x14ac:dyDescent="0.2">
      <c r="A118" s="35"/>
      <c r="B118"/>
      <c r="C118"/>
      <c r="D118" s="23"/>
      <c r="E118"/>
      <c r="F118"/>
      <c r="G118"/>
      <c r="H118" s="19"/>
      <c r="I118" s="19"/>
      <c r="J118"/>
      <c r="K118"/>
    </row>
    <row r="119" spans="1:11" s="14" customFormat="1" x14ac:dyDescent="0.2">
      <c r="A119" s="35"/>
      <c r="B119"/>
      <c r="C119"/>
      <c r="D119" s="23"/>
      <c r="E119"/>
      <c r="F119"/>
      <c r="G119"/>
      <c r="H119" s="19"/>
      <c r="I119" s="19"/>
      <c r="J119"/>
      <c r="K119"/>
    </row>
    <row r="120" spans="1:11" s="14" customFormat="1" x14ac:dyDescent="0.2">
      <c r="A120" s="35"/>
      <c r="B120"/>
      <c r="C120"/>
      <c r="D120" s="23"/>
      <c r="E120"/>
      <c r="F120"/>
      <c r="G120"/>
      <c r="H120" s="19"/>
      <c r="I120" s="19"/>
      <c r="J120"/>
      <c r="K120"/>
    </row>
    <row r="121" spans="1:11" s="14" customFormat="1" x14ac:dyDescent="0.2">
      <c r="A121" s="35"/>
      <c r="B121"/>
      <c r="C121"/>
      <c r="D121" s="23"/>
      <c r="E121"/>
      <c r="F121"/>
      <c r="G121"/>
      <c r="H121" s="19"/>
      <c r="I121" s="19"/>
      <c r="J121"/>
      <c r="K121"/>
    </row>
    <row r="122" spans="1:11" s="14" customFormat="1" x14ac:dyDescent="0.2">
      <c r="A122" s="35"/>
      <c r="B122"/>
      <c r="C122"/>
      <c r="D122" s="23"/>
      <c r="E122"/>
      <c r="F122"/>
      <c r="G122"/>
      <c r="H122" s="19"/>
      <c r="I122" s="19"/>
      <c r="J122"/>
      <c r="K122"/>
    </row>
    <row r="123" spans="1:11" s="14" customFormat="1" x14ac:dyDescent="0.2">
      <c r="A123" s="35"/>
      <c r="B123"/>
      <c r="C123"/>
      <c r="D123" s="23"/>
      <c r="E123"/>
      <c r="F123"/>
      <c r="G123"/>
      <c r="H123" s="19"/>
      <c r="I123" s="19"/>
      <c r="J123"/>
      <c r="K123"/>
    </row>
    <row r="124" spans="1:11" s="14" customFormat="1" x14ac:dyDescent="0.2">
      <c r="A124" s="35"/>
      <c r="B124"/>
      <c r="C124"/>
      <c r="D124" s="23"/>
      <c r="E124"/>
      <c r="F124"/>
      <c r="G124"/>
      <c r="H124" s="19"/>
      <c r="I124" s="19"/>
      <c r="J124"/>
      <c r="K124"/>
    </row>
    <row r="125" spans="1:11" s="14" customFormat="1" x14ac:dyDescent="0.2">
      <c r="A125" s="35"/>
      <c r="B125"/>
      <c r="C125"/>
      <c r="D125" s="23"/>
      <c r="E125"/>
      <c r="F125"/>
      <c r="G125"/>
      <c r="H125" s="19"/>
      <c r="I125" s="19"/>
      <c r="J125"/>
      <c r="K125"/>
    </row>
    <row r="126" spans="1:11" s="14" customFormat="1" x14ac:dyDescent="0.2">
      <c r="A126" s="35"/>
      <c r="B126"/>
      <c r="C126"/>
      <c r="D126" s="23"/>
      <c r="E126"/>
      <c r="F126"/>
      <c r="G126"/>
      <c r="H126" s="19"/>
      <c r="I126" s="19"/>
      <c r="J126"/>
      <c r="K126"/>
    </row>
    <row r="127" spans="1:11" s="14" customFormat="1" x14ac:dyDescent="0.2">
      <c r="A127" s="35"/>
      <c r="B127"/>
      <c r="C127"/>
      <c r="D127" s="23"/>
      <c r="E127"/>
      <c r="F127"/>
      <c r="G127"/>
      <c r="H127" s="19"/>
      <c r="I127" s="19"/>
      <c r="J127"/>
      <c r="K127"/>
    </row>
    <row r="128" spans="1:11" s="14" customFormat="1" x14ac:dyDescent="0.2">
      <c r="A128" s="35"/>
      <c r="B128"/>
      <c r="C128"/>
      <c r="D128" s="23"/>
      <c r="E128"/>
      <c r="F128"/>
      <c r="G128"/>
      <c r="H128" s="19"/>
      <c r="I128" s="19"/>
      <c r="J128"/>
      <c r="K128"/>
    </row>
    <row r="129" spans="1:11" s="14" customFormat="1" x14ac:dyDescent="0.2">
      <c r="A129" s="35"/>
      <c r="B129"/>
      <c r="C129"/>
      <c r="D129" s="23"/>
      <c r="E129"/>
      <c r="F129"/>
      <c r="G129"/>
      <c r="H129" s="19"/>
      <c r="I129" s="19"/>
      <c r="J129"/>
      <c r="K129"/>
    </row>
    <row r="130" spans="1:11" s="14" customFormat="1" x14ac:dyDescent="0.2">
      <c r="A130" s="35"/>
      <c r="B130"/>
      <c r="C130"/>
      <c r="D130" s="23"/>
      <c r="E130"/>
      <c r="F130"/>
      <c r="G130"/>
      <c r="H130" s="19"/>
      <c r="I130" s="19"/>
      <c r="J130"/>
      <c r="K130"/>
    </row>
    <row r="131" spans="1:11" s="14" customFormat="1" x14ac:dyDescent="0.2">
      <c r="A131" s="35"/>
      <c r="B131"/>
      <c r="C131"/>
      <c r="D131" s="23"/>
      <c r="E131"/>
      <c r="F131"/>
      <c r="G131"/>
      <c r="H131" s="19"/>
      <c r="I131" s="19"/>
      <c r="J131"/>
      <c r="K131"/>
    </row>
    <row r="132" spans="1:11" s="14" customFormat="1" x14ac:dyDescent="0.2">
      <c r="A132" s="35"/>
      <c r="B132"/>
      <c r="C132"/>
      <c r="D132" s="23"/>
      <c r="E132"/>
      <c r="F132"/>
      <c r="G132"/>
      <c r="H132" s="19"/>
      <c r="I132" s="19"/>
      <c r="J132"/>
      <c r="K132"/>
    </row>
    <row r="133" spans="1:11" s="14" customFormat="1" x14ac:dyDescent="0.2">
      <c r="A133" s="35"/>
      <c r="B133"/>
      <c r="C133"/>
      <c r="D133" s="23"/>
      <c r="E133"/>
      <c r="F133"/>
      <c r="G133"/>
      <c r="H133" s="19"/>
      <c r="I133" s="19"/>
      <c r="J133"/>
      <c r="K133"/>
    </row>
    <row r="134" spans="1:11" s="14" customFormat="1" x14ac:dyDescent="0.2">
      <c r="A134" s="35"/>
      <c r="B134"/>
      <c r="C134"/>
      <c r="D134" s="23"/>
      <c r="E134"/>
      <c r="F134"/>
      <c r="G134"/>
      <c r="H134" s="19"/>
      <c r="I134" s="19"/>
      <c r="J134"/>
      <c r="K134"/>
    </row>
    <row r="135" spans="1:11" s="14" customFormat="1" x14ac:dyDescent="0.2">
      <c r="A135" s="35"/>
      <c r="B135"/>
      <c r="C135"/>
      <c r="D135" s="23"/>
      <c r="E135"/>
      <c r="F135"/>
      <c r="G135"/>
      <c r="H135" s="19"/>
      <c r="I135" s="19"/>
      <c r="J135"/>
      <c r="K135"/>
    </row>
    <row r="136" spans="1:11" s="14" customFormat="1" x14ac:dyDescent="0.2">
      <c r="A136" s="35"/>
      <c r="B136"/>
      <c r="C136"/>
      <c r="D136" s="23"/>
      <c r="E136"/>
      <c r="F136"/>
      <c r="G136"/>
      <c r="H136" s="19"/>
      <c r="I136" s="19"/>
      <c r="J136"/>
      <c r="K136"/>
    </row>
    <row r="137" spans="1:11" s="14" customFormat="1" x14ac:dyDescent="0.2">
      <c r="A137" s="35"/>
      <c r="B137"/>
      <c r="C137"/>
      <c r="D137" s="23"/>
      <c r="E137"/>
      <c r="F137"/>
      <c r="G137"/>
      <c r="H137" s="19"/>
      <c r="I137" s="19"/>
      <c r="J137"/>
      <c r="K137"/>
    </row>
    <row r="138" spans="1:11" s="14" customFormat="1" x14ac:dyDescent="0.2">
      <c r="A138" s="35"/>
      <c r="B138"/>
      <c r="C138"/>
      <c r="D138" s="23"/>
      <c r="E138"/>
      <c r="F138"/>
      <c r="G138"/>
      <c r="H138" s="19"/>
      <c r="I138" s="19"/>
      <c r="J138"/>
      <c r="K138"/>
    </row>
    <row r="139" spans="1:11" s="14" customFormat="1" x14ac:dyDescent="0.2">
      <c r="A139" s="35"/>
      <c r="B139"/>
      <c r="C139"/>
      <c r="D139" s="23"/>
      <c r="E139"/>
      <c r="F139"/>
      <c r="G139"/>
      <c r="H139" s="19"/>
      <c r="I139" s="19"/>
      <c r="J139"/>
      <c r="K139"/>
    </row>
    <row r="140" spans="1:11" s="14" customFormat="1" x14ac:dyDescent="0.2">
      <c r="A140" s="35"/>
      <c r="B140"/>
      <c r="C140"/>
      <c r="D140" s="23"/>
      <c r="E140"/>
      <c r="F140"/>
      <c r="G140"/>
      <c r="H140" s="19"/>
      <c r="I140" s="19"/>
      <c r="J140"/>
      <c r="K140"/>
    </row>
    <row r="141" spans="1:11" s="14" customFormat="1" x14ac:dyDescent="0.2">
      <c r="A141" s="35"/>
      <c r="B141"/>
      <c r="C141"/>
      <c r="D141" s="23"/>
      <c r="E141"/>
      <c r="F141"/>
      <c r="G141"/>
      <c r="H141" s="19"/>
      <c r="I141" s="19"/>
      <c r="J141"/>
      <c r="K141"/>
    </row>
    <row r="142" spans="1:11" s="14" customFormat="1" x14ac:dyDescent="0.2">
      <c r="A142" s="35"/>
      <c r="B142"/>
      <c r="C142"/>
      <c r="D142" s="23"/>
      <c r="E142"/>
      <c r="F142"/>
      <c r="G142"/>
      <c r="H142" s="19"/>
      <c r="I142" s="19"/>
      <c r="J142"/>
      <c r="K142"/>
    </row>
    <row r="143" spans="1:11" s="14" customFormat="1" x14ac:dyDescent="0.2">
      <c r="A143" s="35"/>
      <c r="B143"/>
      <c r="C143"/>
      <c r="D143" s="23"/>
      <c r="E143"/>
      <c r="F143"/>
      <c r="G143"/>
      <c r="H143" s="19"/>
      <c r="I143" s="19"/>
      <c r="J143"/>
      <c r="K143"/>
    </row>
    <row r="144" spans="1:11" s="14" customFormat="1" x14ac:dyDescent="0.2">
      <c r="A144" s="35"/>
      <c r="B144"/>
      <c r="C144"/>
      <c r="D144" s="23"/>
      <c r="E144"/>
      <c r="F144"/>
      <c r="G144"/>
      <c r="H144" s="19"/>
      <c r="I144" s="19"/>
      <c r="J144"/>
      <c r="K144"/>
    </row>
    <row r="145" spans="1:11" s="14" customFormat="1" x14ac:dyDescent="0.2">
      <c r="A145" s="35"/>
      <c r="B145"/>
      <c r="C145"/>
      <c r="D145" s="23"/>
      <c r="E145"/>
      <c r="F145"/>
      <c r="G145"/>
      <c r="H145" s="19"/>
      <c r="I145" s="19"/>
      <c r="J145"/>
      <c r="K145"/>
    </row>
    <row r="146" spans="1:11" s="14" customFormat="1" x14ac:dyDescent="0.2">
      <c r="A146" s="35"/>
      <c r="B146"/>
      <c r="C146"/>
      <c r="D146" s="23"/>
      <c r="E146"/>
      <c r="F146"/>
      <c r="G146"/>
      <c r="H146" s="19"/>
      <c r="I146" s="19"/>
      <c r="J146"/>
      <c r="K146"/>
    </row>
    <row r="147" spans="1:11" s="14" customFormat="1" x14ac:dyDescent="0.2">
      <c r="A147" s="35"/>
      <c r="B147"/>
      <c r="C147"/>
      <c r="D147" s="23"/>
      <c r="E147"/>
      <c r="F147"/>
      <c r="G147"/>
      <c r="H147" s="19"/>
      <c r="I147" s="19"/>
      <c r="J147"/>
      <c r="K147"/>
    </row>
    <row r="148" spans="1:11" s="14" customFormat="1" x14ac:dyDescent="0.2">
      <c r="A148" s="35"/>
      <c r="B148"/>
      <c r="C148"/>
      <c r="D148" s="23"/>
      <c r="E148"/>
      <c r="F148"/>
      <c r="G148"/>
      <c r="H148" s="19"/>
      <c r="I148" s="19"/>
      <c r="J148"/>
      <c r="K148"/>
    </row>
    <row r="149" spans="1:11" s="14" customFormat="1" x14ac:dyDescent="0.2">
      <c r="A149" s="35"/>
      <c r="B149"/>
      <c r="C149"/>
      <c r="D149" s="23"/>
      <c r="E149"/>
      <c r="F149"/>
      <c r="G149"/>
      <c r="H149" s="19"/>
      <c r="I149" s="19"/>
      <c r="J149"/>
      <c r="K149"/>
    </row>
    <row r="150" spans="1:11" s="14" customFormat="1" x14ac:dyDescent="0.2">
      <c r="A150" s="35"/>
      <c r="B150"/>
      <c r="C150"/>
      <c r="D150" s="23"/>
      <c r="E150"/>
      <c r="F150"/>
      <c r="G150"/>
      <c r="H150" s="19"/>
      <c r="I150" s="19"/>
      <c r="J150"/>
      <c r="K150"/>
    </row>
    <row r="151" spans="1:11" s="14" customFormat="1" x14ac:dyDescent="0.2">
      <c r="A151" s="35"/>
      <c r="B151"/>
      <c r="C151"/>
      <c r="D151" s="23"/>
      <c r="E151"/>
      <c r="F151"/>
      <c r="G151"/>
      <c r="H151" s="19"/>
      <c r="I151" s="19"/>
      <c r="J151"/>
      <c r="K151"/>
    </row>
    <row r="152" spans="1:11" s="14" customFormat="1" x14ac:dyDescent="0.2">
      <c r="A152" s="35"/>
      <c r="B152"/>
      <c r="C152"/>
      <c r="D152" s="23"/>
      <c r="E152"/>
      <c r="F152"/>
      <c r="G152"/>
      <c r="H152" s="19"/>
      <c r="I152" s="19"/>
      <c r="J152"/>
      <c r="K152"/>
    </row>
    <row r="153" spans="1:11" s="14" customFormat="1" x14ac:dyDescent="0.2">
      <c r="A153" s="35"/>
      <c r="B153"/>
      <c r="C153"/>
      <c r="D153" s="23"/>
      <c r="E153"/>
      <c r="F153"/>
      <c r="G153"/>
      <c r="H153" s="19"/>
      <c r="I153" s="19"/>
      <c r="J153"/>
      <c r="K153"/>
    </row>
    <row r="154" spans="1:11" s="14" customFormat="1" x14ac:dyDescent="0.2">
      <c r="A154" s="35"/>
      <c r="B154"/>
      <c r="C154"/>
      <c r="D154" s="23"/>
      <c r="E154"/>
      <c r="F154"/>
      <c r="G154"/>
      <c r="H154" s="19"/>
      <c r="I154" s="19"/>
      <c r="J154"/>
      <c r="K154"/>
    </row>
    <row r="155" spans="1:11" s="14" customFormat="1" x14ac:dyDescent="0.2">
      <c r="A155" s="35"/>
      <c r="B155"/>
      <c r="C155"/>
      <c r="D155" s="23"/>
      <c r="E155"/>
      <c r="F155"/>
      <c r="G155"/>
      <c r="H155" s="19"/>
      <c r="I155" s="19"/>
      <c r="J155"/>
      <c r="K155"/>
    </row>
    <row r="156" spans="1:11" s="14" customFormat="1" x14ac:dyDescent="0.2">
      <c r="A156" s="35"/>
      <c r="B156"/>
      <c r="C156"/>
      <c r="D156" s="23"/>
      <c r="E156"/>
      <c r="F156"/>
      <c r="G156"/>
      <c r="H156" s="19"/>
      <c r="I156" s="19"/>
      <c r="J156"/>
      <c r="K156"/>
    </row>
    <row r="157" spans="1:11" s="14" customFormat="1" x14ac:dyDescent="0.2">
      <c r="A157" s="35"/>
      <c r="B157"/>
      <c r="C157"/>
      <c r="D157" s="23"/>
      <c r="E157"/>
      <c r="F157"/>
      <c r="G157"/>
      <c r="H157" s="19"/>
      <c r="I157" s="19"/>
      <c r="J157"/>
      <c r="K157"/>
    </row>
    <row r="158" spans="1:11" s="14" customFormat="1" x14ac:dyDescent="0.2">
      <c r="A158" s="35"/>
      <c r="B158"/>
      <c r="C158"/>
      <c r="D158" s="23"/>
      <c r="E158"/>
      <c r="F158"/>
      <c r="G158"/>
      <c r="H158" s="19"/>
      <c r="I158" s="19"/>
      <c r="J158"/>
      <c r="K158"/>
    </row>
    <row r="159" spans="1:11" s="14" customFormat="1" x14ac:dyDescent="0.2">
      <c r="A159" s="35"/>
      <c r="B159"/>
      <c r="C159"/>
      <c r="D159" s="23"/>
      <c r="E159"/>
      <c r="F159"/>
      <c r="G159"/>
      <c r="H159" s="19"/>
      <c r="I159" s="19"/>
      <c r="J159"/>
      <c r="K159"/>
    </row>
    <row r="160" spans="1:11" s="14" customFormat="1" x14ac:dyDescent="0.2">
      <c r="A160" s="35"/>
      <c r="B160"/>
      <c r="C160"/>
      <c r="D160" s="23"/>
      <c r="E160"/>
      <c r="F160"/>
      <c r="G160"/>
      <c r="H160" s="19"/>
      <c r="I160" s="19"/>
      <c r="J160"/>
      <c r="K160"/>
    </row>
    <row r="161" spans="1:11" s="14" customFormat="1" x14ac:dyDescent="0.2">
      <c r="A161" s="35"/>
      <c r="B161"/>
      <c r="C161"/>
      <c r="D161" s="23"/>
      <c r="E161"/>
      <c r="F161"/>
      <c r="G161"/>
      <c r="H161" s="19"/>
      <c r="I161" s="19"/>
      <c r="J161"/>
      <c r="K161"/>
    </row>
    <row r="162" spans="1:11" s="14" customFormat="1" x14ac:dyDescent="0.2">
      <c r="A162" s="35"/>
      <c r="B162"/>
      <c r="C162"/>
      <c r="D162" s="23"/>
      <c r="E162"/>
      <c r="F162"/>
      <c r="G162"/>
      <c r="H162" s="19"/>
      <c r="I162" s="19"/>
      <c r="J162"/>
      <c r="K162"/>
    </row>
    <row r="163" spans="1:11" s="14" customFormat="1" x14ac:dyDescent="0.2">
      <c r="A163" s="35"/>
      <c r="B163"/>
      <c r="C163"/>
      <c r="D163" s="23"/>
      <c r="E163"/>
      <c r="F163"/>
      <c r="G163"/>
      <c r="H163" s="19"/>
      <c r="I163" s="19"/>
      <c r="J163"/>
      <c r="K163"/>
    </row>
    <row r="164" spans="1:11" s="14" customFormat="1" x14ac:dyDescent="0.2">
      <c r="A164" s="35"/>
      <c r="B164"/>
      <c r="C164"/>
      <c r="D164" s="23"/>
      <c r="E164"/>
      <c r="F164"/>
      <c r="G164"/>
      <c r="H164" s="19"/>
      <c r="I164" s="19"/>
      <c r="J164"/>
      <c r="K164"/>
    </row>
    <row r="165" spans="1:11" s="14" customFormat="1" x14ac:dyDescent="0.2">
      <c r="A165" s="35"/>
      <c r="B165"/>
      <c r="C165"/>
      <c r="D165" s="23"/>
      <c r="E165"/>
      <c r="F165"/>
      <c r="G165"/>
      <c r="H165" s="19"/>
      <c r="I165" s="19"/>
      <c r="J165"/>
      <c r="K165"/>
    </row>
    <row r="166" spans="1:11" s="14" customFormat="1" x14ac:dyDescent="0.2">
      <c r="A166" s="35"/>
      <c r="B166"/>
      <c r="C166"/>
      <c r="D166" s="23"/>
      <c r="E166"/>
      <c r="F166"/>
      <c r="G166"/>
      <c r="H166" s="19"/>
      <c r="I166" s="19"/>
      <c r="J166"/>
      <c r="K166"/>
    </row>
    <row r="167" spans="1:11" s="14" customFormat="1" x14ac:dyDescent="0.2">
      <c r="A167" s="35"/>
      <c r="B167"/>
      <c r="C167"/>
      <c r="D167" s="23"/>
      <c r="E167"/>
      <c r="F167"/>
      <c r="G167"/>
      <c r="H167" s="19"/>
      <c r="I167" s="19"/>
      <c r="J167"/>
      <c r="K167"/>
    </row>
    <row r="168" spans="1:11" s="14" customFormat="1" x14ac:dyDescent="0.2">
      <c r="A168" s="35"/>
      <c r="B168"/>
      <c r="C168"/>
      <c r="D168" s="23"/>
      <c r="E168"/>
      <c r="F168"/>
      <c r="G168"/>
      <c r="H168" s="19"/>
      <c r="I168" s="19"/>
      <c r="J168"/>
      <c r="K168"/>
    </row>
    <row r="169" spans="1:11" s="14" customFormat="1" x14ac:dyDescent="0.2">
      <c r="A169" s="35"/>
      <c r="B169"/>
      <c r="C169"/>
      <c r="D169" s="23"/>
      <c r="E169"/>
      <c r="F169"/>
      <c r="G169"/>
      <c r="H169" s="19"/>
      <c r="I169" s="19"/>
      <c r="J169"/>
      <c r="K169"/>
    </row>
    <row r="170" spans="1:11" s="14" customFormat="1" x14ac:dyDescent="0.2">
      <c r="A170" s="35"/>
      <c r="B170"/>
      <c r="C170"/>
      <c r="D170" s="23"/>
      <c r="E170"/>
      <c r="F170"/>
      <c r="G170"/>
      <c r="H170" s="19"/>
      <c r="I170" s="19"/>
      <c r="J170"/>
      <c r="K170"/>
    </row>
    <row r="171" spans="1:11" s="14" customFormat="1" x14ac:dyDescent="0.2">
      <c r="A171" s="35"/>
      <c r="B171"/>
      <c r="C171"/>
      <c r="D171" s="23"/>
      <c r="E171"/>
      <c r="F171"/>
      <c r="G171"/>
      <c r="H171" s="19"/>
      <c r="I171" s="19"/>
      <c r="J171"/>
      <c r="K171"/>
    </row>
    <row r="172" spans="1:11" s="14" customFormat="1" x14ac:dyDescent="0.2">
      <c r="A172" s="35"/>
      <c r="B172"/>
      <c r="C172"/>
      <c r="D172" s="23"/>
      <c r="E172"/>
      <c r="F172"/>
      <c r="G172"/>
      <c r="H172" s="19"/>
      <c r="I172" s="19"/>
      <c r="J172"/>
      <c r="K172"/>
    </row>
    <row r="173" spans="1:11" s="14" customFormat="1" x14ac:dyDescent="0.2">
      <c r="A173" s="35"/>
      <c r="B173"/>
      <c r="C173"/>
      <c r="D173" s="23"/>
      <c r="E173"/>
      <c r="F173"/>
      <c r="G173"/>
      <c r="H173" s="19"/>
      <c r="I173" s="19"/>
      <c r="J173"/>
      <c r="K173"/>
    </row>
    <row r="174" spans="1:11" s="14" customFormat="1" x14ac:dyDescent="0.2">
      <c r="A174" s="35"/>
      <c r="B174"/>
      <c r="C174"/>
      <c r="D174" s="23"/>
      <c r="E174"/>
      <c r="F174"/>
      <c r="G174"/>
      <c r="H174" s="19"/>
      <c r="I174" s="19"/>
      <c r="J174"/>
      <c r="K174"/>
    </row>
    <row r="175" spans="1:11" s="14" customFormat="1" x14ac:dyDescent="0.2">
      <c r="A175" s="35"/>
      <c r="B175"/>
      <c r="C175"/>
      <c r="D175" s="23"/>
      <c r="E175"/>
      <c r="F175"/>
      <c r="G175"/>
      <c r="H175" s="19"/>
      <c r="I175" s="19"/>
      <c r="J175"/>
      <c r="K175"/>
    </row>
    <row r="176" spans="1:11" s="14" customFormat="1" x14ac:dyDescent="0.2">
      <c r="A176" s="35"/>
      <c r="B176"/>
      <c r="C176"/>
      <c r="D176" s="23"/>
      <c r="E176"/>
      <c r="F176"/>
      <c r="G176"/>
      <c r="H176" s="19"/>
      <c r="I176" s="19"/>
      <c r="J176"/>
      <c r="K176"/>
    </row>
    <row r="177" spans="1:11" s="14" customFormat="1" x14ac:dyDescent="0.2">
      <c r="A177" s="35"/>
      <c r="B177"/>
      <c r="C177"/>
      <c r="D177" s="23"/>
      <c r="E177"/>
      <c r="F177"/>
      <c r="G177"/>
      <c r="H177" s="19"/>
      <c r="I177" s="19"/>
      <c r="J177"/>
      <c r="K177"/>
    </row>
    <row r="178" spans="1:11" s="14" customFormat="1" x14ac:dyDescent="0.2">
      <c r="A178" s="35"/>
      <c r="B178"/>
      <c r="C178"/>
      <c r="D178" s="23"/>
      <c r="E178"/>
      <c r="F178"/>
      <c r="G178"/>
      <c r="H178" s="19"/>
      <c r="I178" s="19"/>
      <c r="J178"/>
      <c r="K178"/>
    </row>
    <row r="179" spans="1:11" s="14" customFormat="1" x14ac:dyDescent="0.2">
      <c r="A179" s="35"/>
      <c r="B179"/>
      <c r="C179"/>
      <c r="D179" s="23"/>
      <c r="E179"/>
      <c r="F179"/>
      <c r="G179"/>
      <c r="H179" s="19"/>
      <c r="I179" s="19"/>
      <c r="J179"/>
      <c r="K179"/>
    </row>
    <row r="180" spans="1:11" s="14" customFormat="1" x14ac:dyDescent="0.2">
      <c r="A180" s="35"/>
      <c r="B180"/>
      <c r="C180"/>
      <c r="D180" s="23"/>
      <c r="E180"/>
      <c r="F180"/>
      <c r="G180"/>
      <c r="H180" s="19"/>
      <c r="I180" s="19"/>
      <c r="J180"/>
      <c r="K180"/>
    </row>
    <row r="181" spans="1:11" s="14" customFormat="1" x14ac:dyDescent="0.2">
      <c r="A181" s="35"/>
      <c r="B181"/>
      <c r="C181"/>
      <c r="D181" s="23"/>
      <c r="E181"/>
      <c r="F181"/>
      <c r="G181"/>
      <c r="H181" s="19"/>
      <c r="I181" s="19"/>
      <c r="J181"/>
      <c r="K181"/>
    </row>
    <row r="182" spans="1:11" s="14" customFormat="1" x14ac:dyDescent="0.2">
      <c r="A182" s="35"/>
      <c r="B182"/>
      <c r="C182"/>
      <c r="D182" s="23"/>
      <c r="E182"/>
      <c r="F182"/>
      <c r="G182"/>
      <c r="H182" s="19"/>
      <c r="I182" s="19"/>
      <c r="J182"/>
      <c r="K182"/>
    </row>
    <row r="183" spans="1:11" s="14" customFormat="1" x14ac:dyDescent="0.2">
      <c r="A183" s="35"/>
      <c r="B183"/>
      <c r="C183"/>
      <c r="D183" s="23"/>
      <c r="E183"/>
      <c r="F183"/>
      <c r="G183"/>
      <c r="H183" s="19"/>
      <c r="I183" s="19"/>
      <c r="J183"/>
      <c r="K183"/>
    </row>
    <row r="184" spans="1:11" s="14" customFormat="1" x14ac:dyDescent="0.2">
      <c r="A184" s="35"/>
      <c r="B184"/>
      <c r="C184"/>
      <c r="D184" s="23"/>
      <c r="E184"/>
      <c r="F184"/>
      <c r="G184"/>
      <c r="H184" s="19"/>
      <c r="I184" s="19"/>
      <c r="J184"/>
      <c r="K184"/>
    </row>
    <row r="185" spans="1:11" s="14" customFormat="1" x14ac:dyDescent="0.2">
      <c r="A185" s="35"/>
      <c r="B185"/>
      <c r="C185"/>
      <c r="D185" s="23"/>
      <c r="E185"/>
      <c r="F185"/>
      <c r="G185"/>
      <c r="H185" s="19"/>
      <c r="I185" s="19"/>
      <c r="J185"/>
      <c r="K185"/>
    </row>
    <row r="186" spans="1:11" s="14" customFormat="1" x14ac:dyDescent="0.2">
      <c r="A186" s="35"/>
      <c r="B186"/>
      <c r="C186"/>
      <c r="D186" s="23"/>
      <c r="E186"/>
      <c r="F186"/>
      <c r="G186"/>
      <c r="H186" s="19"/>
      <c r="I186" s="19"/>
      <c r="J186"/>
      <c r="K186"/>
    </row>
    <row r="187" spans="1:11" s="14" customFormat="1" x14ac:dyDescent="0.2">
      <c r="A187" s="35"/>
      <c r="B187"/>
      <c r="C187"/>
      <c r="D187" s="23"/>
      <c r="E187"/>
      <c r="F187"/>
      <c r="G187"/>
      <c r="H187" s="19"/>
      <c r="I187" s="19"/>
      <c r="J187"/>
      <c r="K187"/>
    </row>
    <row r="188" spans="1:11" s="14" customFormat="1" x14ac:dyDescent="0.2">
      <c r="A188" s="35"/>
      <c r="B188"/>
      <c r="C188"/>
      <c r="D188" s="23"/>
      <c r="E188"/>
      <c r="F188"/>
      <c r="G188"/>
      <c r="H188" s="19"/>
      <c r="I188" s="19"/>
      <c r="J188"/>
      <c r="K188"/>
    </row>
    <row r="189" spans="1:11" s="14" customFormat="1" x14ac:dyDescent="0.2">
      <c r="A189" s="35"/>
      <c r="B189"/>
      <c r="C189"/>
      <c r="D189" s="23"/>
      <c r="E189"/>
      <c r="F189"/>
      <c r="G189"/>
      <c r="H189" s="19"/>
      <c r="I189" s="19"/>
      <c r="J189"/>
      <c r="K189"/>
    </row>
    <row r="190" spans="1:11" s="14" customFormat="1" x14ac:dyDescent="0.2">
      <c r="A190" s="35"/>
      <c r="B190"/>
      <c r="C190"/>
      <c r="D190" s="23"/>
      <c r="E190"/>
      <c r="F190"/>
      <c r="G190"/>
      <c r="H190" s="19"/>
      <c r="I190" s="19"/>
      <c r="J190"/>
      <c r="K190"/>
    </row>
    <row r="191" spans="1:11" s="14" customFormat="1" x14ac:dyDescent="0.2">
      <c r="A191" s="35"/>
      <c r="B191"/>
      <c r="C191"/>
      <c r="D191" s="23"/>
      <c r="E191"/>
      <c r="F191"/>
      <c r="G191"/>
      <c r="H191" s="19"/>
      <c r="I191" s="19"/>
      <c r="J191"/>
      <c r="K191"/>
    </row>
    <row r="192" spans="1:11" s="14" customFormat="1" x14ac:dyDescent="0.2">
      <c r="A192" s="35"/>
      <c r="B192"/>
      <c r="C192"/>
      <c r="D192" s="23"/>
      <c r="E192"/>
      <c r="F192"/>
      <c r="G192"/>
      <c r="H192" s="19"/>
      <c r="I192" s="19"/>
      <c r="J192"/>
      <c r="K192"/>
    </row>
    <row r="193" spans="2:11" x14ac:dyDescent="0.2">
      <c r="B193"/>
      <c r="C193"/>
      <c r="D193" s="23"/>
      <c r="E193"/>
      <c r="F193"/>
      <c r="G193"/>
      <c r="H193" s="19"/>
      <c r="I193" s="19"/>
      <c r="J193"/>
      <c r="K193"/>
    </row>
    <row r="194" spans="2:11" x14ac:dyDescent="0.2">
      <c r="B194"/>
      <c r="C194"/>
      <c r="D194" s="23"/>
      <c r="E194"/>
      <c r="F194"/>
      <c r="G194"/>
      <c r="H194" s="19"/>
      <c r="I194" s="19"/>
      <c r="J194"/>
      <c r="K194"/>
    </row>
    <row r="195" spans="2:11" x14ac:dyDescent="0.2">
      <c r="B195"/>
      <c r="C195"/>
      <c r="D195" s="23"/>
      <c r="E195"/>
      <c r="F195"/>
      <c r="G195"/>
      <c r="H195" s="19"/>
      <c r="I195" s="19"/>
      <c r="J195"/>
      <c r="K195"/>
    </row>
    <row r="196" spans="2:11" x14ac:dyDescent="0.2">
      <c r="B196"/>
      <c r="C196"/>
      <c r="D196" s="23"/>
      <c r="E196"/>
      <c r="F196"/>
      <c r="G196"/>
      <c r="H196" s="19"/>
      <c r="I196" s="19"/>
      <c r="J196"/>
      <c r="K196"/>
    </row>
    <row r="197" spans="2:11" x14ac:dyDescent="0.2">
      <c r="B197"/>
      <c r="C197"/>
      <c r="D197" s="23"/>
      <c r="E197"/>
      <c r="F197"/>
      <c r="G197"/>
      <c r="H197" s="19"/>
      <c r="I197" s="19"/>
      <c r="J197"/>
      <c r="K197"/>
    </row>
    <row r="198" spans="2:11" x14ac:dyDescent="0.2">
      <c r="B198"/>
      <c r="C198"/>
      <c r="D198" s="23"/>
      <c r="E198"/>
      <c r="F198"/>
      <c r="G198"/>
      <c r="H198" s="19"/>
      <c r="I198" s="19"/>
      <c r="J198"/>
      <c r="K198"/>
    </row>
    <row r="199" spans="2:11" x14ac:dyDescent="0.2">
      <c r="B199"/>
      <c r="C199"/>
      <c r="D199" s="23"/>
      <c r="E199"/>
      <c r="F199"/>
      <c r="G199"/>
      <c r="H199" s="19"/>
      <c r="I199" s="19"/>
      <c r="J199"/>
      <c r="K199"/>
    </row>
    <row r="200" spans="2:11" x14ac:dyDescent="0.2">
      <c r="B200"/>
      <c r="C200"/>
      <c r="D200" s="23"/>
      <c r="E200"/>
      <c r="F200"/>
      <c r="G200"/>
      <c r="H200" s="19"/>
      <c r="I200" s="19"/>
      <c r="J200"/>
      <c r="K200"/>
    </row>
    <row r="201" spans="2:11" x14ac:dyDescent="0.2">
      <c r="B201"/>
      <c r="C201"/>
      <c r="D201" s="23"/>
      <c r="E201"/>
      <c r="F201"/>
      <c r="G201"/>
      <c r="H201" s="19"/>
      <c r="I201" s="19"/>
      <c r="J201"/>
      <c r="K201"/>
    </row>
    <row r="202" spans="2:11" x14ac:dyDescent="0.2">
      <c r="B202"/>
      <c r="C202"/>
      <c r="D202" s="23"/>
      <c r="E202"/>
      <c r="F202"/>
      <c r="G202"/>
      <c r="H202" s="19"/>
      <c r="I202" s="19"/>
      <c r="J202"/>
      <c r="K202"/>
    </row>
    <row r="203" spans="2:11" x14ac:dyDescent="0.2">
      <c r="B203"/>
      <c r="C203"/>
      <c r="D203" s="23"/>
      <c r="E203"/>
      <c r="F203"/>
      <c r="G203"/>
      <c r="H203" s="19"/>
      <c r="I203" s="19"/>
      <c r="J203"/>
      <c r="K203"/>
    </row>
    <row r="204" spans="2:11" x14ac:dyDescent="0.2">
      <c r="B204"/>
      <c r="C204"/>
      <c r="D204" s="23"/>
      <c r="E204"/>
      <c r="F204"/>
      <c r="G204"/>
      <c r="H204" s="19"/>
      <c r="I204" s="19"/>
      <c r="J204"/>
      <c r="K204"/>
    </row>
    <row r="205" spans="2:11" x14ac:dyDescent="0.2">
      <c r="B205"/>
      <c r="C205"/>
      <c r="D205" s="23"/>
      <c r="E205"/>
      <c r="F205"/>
      <c r="G205"/>
      <c r="H205" s="19"/>
      <c r="I205" s="19"/>
      <c r="J205"/>
      <c r="K205"/>
    </row>
    <row r="206" spans="2:11" x14ac:dyDescent="0.2">
      <c r="B206"/>
      <c r="C206"/>
      <c r="D206" s="23"/>
      <c r="E206"/>
      <c r="F206"/>
      <c r="G206"/>
      <c r="H206" s="19"/>
      <c r="I206" s="19"/>
      <c r="J206"/>
      <c r="K206"/>
    </row>
    <row r="207" spans="2:11" x14ac:dyDescent="0.2">
      <c r="B207"/>
      <c r="C207"/>
      <c r="D207" s="23"/>
      <c r="E207"/>
      <c r="F207"/>
      <c r="G207"/>
      <c r="H207" s="19"/>
      <c r="I207" s="19"/>
      <c r="J207"/>
      <c r="K207"/>
    </row>
    <row r="208" spans="2:11" x14ac:dyDescent="0.2">
      <c r="B208"/>
      <c r="C208"/>
      <c r="D208" s="23"/>
      <c r="E208"/>
      <c r="F208"/>
      <c r="G208"/>
      <c r="H208" s="19"/>
      <c r="I208" s="19"/>
      <c r="J208"/>
      <c r="K208"/>
    </row>
    <row r="209" spans="2:11" x14ac:dyDescent="0.2">
      <c r="B209"/>
      <c r="C209"/>
      <c r="D209" s="23"/>
      <c r="E209"/>
      <c r="F209"/>
      <c r="G209"/>
      <c r="H209" s="19"/>
      <c r="I209" s="19"/>
      <c r="J209"/>
      <c r="K209"/>
    </row>
    <row r="210" spans="2:11" x14ac:dyDescent="0.2">
      <c r="B210"/>
      <c r="C210"/>
      <c r="D210" s="23"/>
      <c r="E210"/>
      <c r="F210"/>
      <c r="G210"/>
      <c r="H210" s="19"/>
      <c r="I210" s="19"/>
      <c r="J210"/>
      <c r="K210"/>
    </row>
    <row r="211" spans="2:11" x14ac:dyDescent="0.2">
      <c r="B211"/>
      <c r="C211"/>
      <c r="D211" s="23"/>
      <c r="E211"/>
      <c r="F211"/>
      <c r="G211"/>
      <c r="H211" s="19"/>
      <c r="I211" s="19"/>
      <c r="J211"/>
      <c r="K211"/>
    </row>
    <row r="212" spans="2:11" x14ac:dyDescent="0.2">
      <c r="B212"/>
      <c r="C212"/>
      <c r="D212" s="23"/>
      <c r="E212"/>
      <c r="F212"/>
      <c r="G212"/>
      <c r="H212" s="19"/>
      <c r="I212" s="19"/>
      <c r="J212"/>
      <c r="K212"/>
    </row>
    <row r="213" spans="2:11" x14ac:dyDescent="0.2">
      <c r="B213"/>
      <c r="C213"/>
      <c r="D213" s="23"/>
      <c r="E213"/>
      <c r="F213"/>
      <c r="G213"/>
      <c r="H213" s="19"/>
      <c r="I213" s="19"/>
      <c r="J213"/>
      <c r="K213"/>
    </row>
    <row r="214" spans="2:11" x14ac:dyDescent="0.2">
      <c r="B214"/>
      <c r="C214"/>
      <c r="D214" s="23"/>
      <c r="E214"/>
      <c r="F214"/>
      <c r="G214"/>
      <c r="H214" s="19"/>
      <c r="I214" s="19"/>
      <c r="J214"/>
      <c r="K214"/>
    </row>
    <row r="215" spans="2:11" x14ac:dyDescent="0.2">
      <c r="B215"/>
      <c r="C215"/>
      <c r="D215" s="23"/>
      <c r="E215"/>
      <c r="F215"/>
      <c r="G215"/>
      <c r="H215" s="19"/>
      <c r="I215" s="19"/>
      <c r="J215"/>
      <c r="K215"/>
    </row>
    <row r="216" spans="2:11" x14ac:dyDescent="0.2">
      <c r="B216"/>
      <c r="C216"/>
      <c r="D216" s="23"/>
      <c r="E216"/>
      <c r="F216"/>
      <c r="G216"/>
      <c r="H216" s="19"/>
      <c r="I216" s="19"/>
      <c r="J216"/>
      <c r="K216"/>
    </row>
    <row r="217" spans="2:11" x14ac:dyDescent="0.2">
      <c r="B217"/>
      <c r="C217"/>
      <c r="D217" s="23"/>
      <c r="E217"/>
      <c r="F217"/>
      <c r="G217"/>
      <c r="H217" s="19"/>
      <c r="I217" s="19"/>
      <c r="J217"/>
      <c r="K217"/>
    </row>
    <row r="218" spans="2:11" x14ac:dyDescent="0.2">
      <c r="B218"/>
      <c r="C218"/>
      <c r="D218" s="23"/>
      <c r="E218"/>
      <c r="F218"/>
      <c r="G218"/>
      <c r="H218" s="19"/>
      <c r="I218" s="19"/>
      <c r="J218"/>
      <c r="K218"/>
    </row>
    <row r="219" spans="2:11" x14ac:dyDescent="0.2">
      <c r="B219"/>
      <c r="C219"/>
      <c r="D219" s="23"/>
      <c r="E219"/>
      <c r="F219"/>
      <c r="G219"/>
      <c r="H219" s="19"/>
      <c r="I219" s="19"/>
      <c r="J219"/>
      <c r="K219"/>
    </row>
    <row r="220" spans="2:11" x14ac:dyDescent="0.2">
      <c r="B220"/>
      <c r="C220"/>
      <c r="D220" s="23"/>
      <c r="E220"/>
      <c r="F220"/>
      <c r="G220"/>
      <c r="H220" s="19"/>
      <c r="I220" s="19"/>
      <c r="J220"/>
      <c r="K220"/>
    </row>
    <row r="221" spans="2:11" x14ac:dyDescent="0.2">
      <c r="B221"/>
      <c r="C221"/>
      <c r="D221" s="23"/>
      <c r="E221"/>
      <c r="F221"/>
      <c r="G221"/>
      <c r="H221" s="19"/>
      <c r="I221" s="19"/>
      <c r="J221"/>
      <c r="K221"/>
    </row>
    <row r="222" spans="2:11" x14ac:dyDescent="0.2">
      <c r="B222"/>
      <c r="C222"/>
      <c r="D222" s="23"/>
      <c r="E222"/>
      <c r="F222"/>
      <c r="G222"/>
      <c r="H222" s="19"/>
      <c r="I222" s="19"/>
      <c r="J222"/>
      <c r="K222"/>
    </row>
    <row r="223" spans="2:11" x14ac:dyDescent="0.2">
      <c r="B223"/>
      <c r="C223"/>
      <c r="D223" s="23"/>
      <c r="E223"/>
      <c r="F223"/>
      <c r="G223"/>
      <c r="H223" s="19"/>
      <c r="I223" s="19"/>
      <c r="J223"/>
      <c r="K223"/>
    </row>
    <row r="224" spans="2:11" x14ac:dyDescent="0.2">
      <c r="B224"/>
      <c r="C224"/>
      <c r="D224" s="23"/>
      <c r="E224"/>
      <c r="F224"/>
      <c r="G224"/>
      <c r="H224" s="19"/>
      <c r="I224" s="19"/>
      <c r="J224"/>
      <c r="K224"/>
    </row>
    <row r="225" spans="2:11" x14ac:dyDescent="0.2">
      <c r="B225"/>
      <c r="C225"/>
      <c r="D225" s="23"/>
      <c r="E225"/>
      <c r="F225"/>
      <c r="G225"/>
      <c r="H225" s="19"/>
      <c r="I225" s="19"/>
      <c r="J225"/>
      <c r="K225"/>
    </row>
    <row r="226" spans="2:11" x14ac:dyDescent="0.2">
      <c r="B226"/>
      <c r="C226"/>
      <c r="D226" s="23"/>
      <c r="E226"/>
      <c r="F226"/>
      <c r="G226"/>
      <c r="H226" s="19"/>
      <c r="I226" s="19"/>
      <c r="J226"/>
      <c r="K226"/>
    </row>
    <row r="227" spans="2:11" x14ac:dyDescent="0.2">
      <c r="B227"/>
      <c r="C227"/>
      <c r="D227" s="23"/>
      <c r="E227"/>
      <c r="F227"/>
      <c r="G227"/>
      <c r="H227" s="19"/>
      <c r="I227" s="19"/>
      <c r="J227"/>
      <c r="K227"/>
    </row>
    <row r="228" spans="2:11" x14ac:dyDescent="0.2">
      <c r="B228"/>
      <c r="C228"/>
      <c r="D228" s="23"/>
      <c r="E228"/>
      <c r="F228"/>
      <c r="G228"/>
      <c r="H228" s="19"/>
      <c r="I228" s="19"/>
      <c r="J228"/>
      <c r="K228"/>
    </row>
    <row r="229" spans="2:11" x14ac:dyDescent="0.2">
      <c r="B229"/>
      <c r="C229"/>
      <c r="D229" s="23"/>
      <c r="E229"/>
      <c r="F229"/>
      <c r="G229"/>
      <c r="H229" s="19"/>
      <c r="I229" s="19"/>
      <c r="J229"/>
      <c r="K229"/>
    </row>
    <row r="230" spans="2:11" x14ac:dyDescent="0.2">
      <c r="B230"/>
      <c r="C230"/>
      <c r="D230" s="23"/>
      <c r="E230"/>
      <c r="F230"/>
      <c r="G230"/>
      <c r="H230" s="19"/>
      <c r="I230" s="19"/>
      <c r="J230"/>
      <c r="K230"/>
    </row>
    <row r="231" spans="2:11" x14ac:dyDescent="0.2">
      <c r="B231"/>
      <c r="C231"/>
      <c r="D231" s="23"/>
      <c r="E231"/>
      <c r="F231"/>
      <c r="G231"/>
      <c r="H231" s="19"/>
      <c r="I231" s="19"/>
      <c r="J231"/>
      <c r="K231"/>
    </row>
    <row r="232" spans="2:11" x14ac:dyDescent="0.2">
      <c r="B232"/>
      <c r="C232"/>
      <c r="D232" s="23"/>
      <c r="E232"/>
      <c r="F232"/>
      <c r="G232"/>
      <c r="H232" s="19"/>
      <c r="I232" s="19"/>
      <c r="J232"/>
      <c r="K232"/>
    </row>
    <row r="233" spans="2:11" x14ac:dyDescent="0.2">
      <c r="B233"/>
      <c r="C233"/>
      <c r="D233" s="23"/>
      <c r="E233"/>
      <c r="F233"/>
      <c r="G233"/>
      <c r="H233" s="19"/>
      <c r="I233" s="19"/>
      <c r="J233"/>
      <c r="K233"/>
    </row>
    <row r="234" spans="2:11" x14ac:dyDescent="0.2">
      <c r="B234"/>
      <c r="C234"/>
      <c r="D234" s="18"/>
      <c r="E234"/>
      <c r="F234"/>
      <c r="G234"/>
      <c r="H234" s="19"/>
      <c r="I234" s="19"/>
      <c r="J234"/>
      <c r="K234"/>
    </row>
    <row r="1048576" spans="1:16" x14ac:dyDescent="0.2">
      <c r="A1048576" s="34" t="s">
        <v>106</v>
      </c>
      <c r="P1048576" s="15" t="s">
        <v>106</v>
      </c>
    </row>
  </sheetData>
  <mergeCells count="1">
    <mergeCell ref="B1:K1"/>
  </mergeCells>
  <phoneticPr fontId="11"/>
  <hyperlinks>
    <hyperlink ref="D15" r:id="rId1"/>
    <hyperlink ref="D3" r:id="rId2"/>
    <hyperlink ref="D4" r:id="rId3"/>
    <hyperlink ref="D5" r:id="rId4"/>
    <hyperlink ref="D6" r:id="rId5"/>
    <hyperlink ref="D7" r:id="rId6"/>
    <hyperlink ref="D9" r:id="rId7"/>
    <hyperlink ref="D10" r:id="rId8"/>
    <hyperlink ref="D11" r:id="rId9"/>
    <hyperlink ref="D12" r:id="rId10"/>
    <hyperlink ref="D13" r:id="rId11"/>
    <hyperlink ref="D47" r:id="rId12"/>
    <hyperlink ref="D14" r:id="rId13"/>
    <hyperlink ref="D8" r:id="rId14"/>
    <hyperlink ref="D49" r:id="rId15"/>
    <hyperlink ref="D50" r:id="rId16"/>
    <hyperlink ref="D25" r:id="rId17"/>
    <hyperlink ref="D26" r:id="rId18"/>
    <hyperlink ref="D58" r:id="rId19"/>
    <hyperlink ref="D59" r:id="rId20"/>
    <hyperlink ref="D60" r:id="rId21"/>
    <hyperlink ref="D61" r:id="rId22"/>
    <hyperlink ref="D62" r:id="rId23"/>
    <hyperlink ref="D63" r:id="rId24"/>
    <hyperlink ref="D64" r:id="rId25"/>
    <hyperlink ref="D65" r:id="rId26"/>
    <hyperlink ref="D66" r:id="rId27"/>
    <hyperlink ref="D67" r:id="rId28"/>
    <hyperlink ref="D68" r:id="rId29"/>
    <hyperlink ref="D69" r:id="rId30"/>
    <hyperlink ref="D70" r:id="rId31"/>
    <hyperlink ref="D71" r:id="rId32"/>
    <hyperlink ref="D72" r:id="rId33"/>
    <hyperlink ref="D73" r:id="rId34"/>
    <hyperlink ref="D74" r:id="rId35"/>
    <hyperlink ref="D75" r:id="rId36"/>
    <hyperlink ref="D76" r:id="rId37"/>
    <hyperlink ref="D77" r:id="rId38"/>
    <hyperlink ref="D78" r:id="rId39"/>
    <hyperlink ref="D79" r:id="rId40"/>
    <hyperlink ref="D80" r:id="rId41"/>
    <hyperlink ref="D81" r:id="rId42"/>
    <hyperlink ref="D82" r:id="rId43"/>
    <hyperlink ref="D83" r:id="rId44"/>
    <hyperlink ref="D84" r:id="rId45"/>
    <hyperlink ref="D16" r:id="rId46"/>
    <hyperlink ref="D17" r:id="rId47"/>
    <hyperlink ref="D18" r:id="rId48"/>
    <hyperlink ref="D19" r:id="rId49"/>
    <hyperlink ref="D20" r:id="rId50"/>
    <hyperlink ref="D21" r:id="rId51"/>
    <hyperlink ref="D22" r:id="rId52"/>
    <hyperlink ref="D23" r:id="rId53"/>
    <hyperlink ref="D24" r:id="rId54"/>
    <hyperlink ref="D27" r:id="rId55"/>
    <hyperlink ref="D28" r:id="rId56"/>
    <hyperlink ref="D29" r:id="rId57"/>
    <hyperlink ref="D30" r:id="rId58"/>
    <hyperlink ref="D31" r:id="rId59"/>
    <hyperlink ref="D32" r:id="rId60"/>
    <hyperlink ref="D33" r:id="rId61"/>
    <hyperlink ref="D34" r:id="rId62"/>
    <hyperlink ref="D35" r:id="rId63"/>
    <hyperlink ref="D36" r:id="rId64"/>
    <hyperlink ref="D37" r:id="rId65"/>
    <hyperlink ref="D38" r:id="rId66"/>
    <hyperlink ref="D39" r:id="rId67"/>
    <hyperlink ref="D40" r:id="rId68"/>
    <hyperlink ref="D41" r:id="rId69"/>
    <hyperlink ref="D42" r:id="rId70"/>
    <hyperlink ref="D43" r:id="rId71"/>
    <hyperlink ref="D44" r:id="rId72"/>
    <hyperlink ref="D45" r:id="rId73"/>
    <hyperlink ref="D46" r:id="rId7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IEEE_Cover</vt:lpstr>
      <vt:lpstr>Stats</vt:lpstr>
      <vt:lpstr>Comments</vt:lpstr>
      <vt:lpstr>Rogue Comments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 IG JRE</dc:title>
  <dc:creator>kuramochi722@dsn.lapis-semi.com</dc:creator>
  <cp:lastModifiedBy>Takashi KURAMOCHI</cp:lastModifiedBy>
  <dcterms:created xsi:type="dcterms:W3CDTF">2012-07-21T16:42:55Z</dcterms:created>
  <dcterms:modified xsi:type="dcterms:W3CDTF">2020-07-14T23:46:44Z</dcterms:modified>
  <cp:category>Comment Spreadsheet</cp:category>
</cp:coreProperties>
</file>