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90" windowHeight="3810" activeTab="1"/>
  </bookViews>
  <sheets>
    <sheet name="IEEE_Cover" sheetId="1" r:id="rId1"/>
    <sheet name="Comments" sheetId="2" r:id="rId2"/>
    <sheet name="Summary" sheetId="3" r:id="rId3"/>
  </sheets>
  <definedNames>
    <definedName name="_xlnm._FilterDatabase" localSheetId="1" hidden="1">'Comments'!$A$1:$AB$26</definedName>
  </definedNames>
  <calcPr fullCalcOnLoad="1"/>
</workbook>
</file>

<file path=xl/sharedStrings.xml><?xml version="1.0" encoding="utf-8"?>
<sst xmlns="http://schemas.openxmlformats.org/spreadsheetml/2006/main" count="483" uniqueCount="262">
  <si>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</si>
  <si>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</si>
  <si>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</si>
  <si>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</si>
  <si>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</si>
  <si>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</si>
  <si>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</si>
  <si>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</si>
  <si>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</si>
  <si>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</si>
  <si>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</si>
  <si>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</si>
  <si>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</si>
  <si>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</si>
  <si>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</si>
  <si>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</si>
  <si>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</si>
  <si>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</si>
  <si>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</si>
  <si>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</si>
  <si>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</si>
  <si>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</si>
  <si>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</si>
  <si>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</si>
  <si>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</si>
  <si>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CA</t>
  </si>
  <si>
    <t>Y</t>
  </si>
  <si>
    <t>Clint Chaplin</t>
  </si>
  <si>
    <t>Editorial</t>
  </si>
  <si>
    <t>Yes</t>
  </si>
  <si>
    <t>Benjamin A. Rolfe</t>
  </si>
  <si>
    <t>Bob Mason</t>
  </si>
  <si>
    <t>Elster Solutions</t>
  </si>
  <si>
    <t>19-20</t>
  </si>
  <si>
    <t>Texas Instruments</t>
  </si>
  <si>
    <t>Clint Powell</t>
  </si>
  <si>
    <t>Cristina Seibert</t>
  </si>
  <si>
    <t>David Cypher</t>
  </si>
  <si>
    <t>Dietmar Eggert</t>
  </si>
  <si>
    <t>Emmanuel Monnerie</t>
  </si>
  <si>
    <t>Jeritt Kent</t>
  </si>
  <si>
    <t>Kuor-Hsin Chang</t>
  </si>
  <si>
    <t>Liang Li</t>
  </si>
  <si>
    <t>Matt Boytim</t>
  </si>
  <si>
    <t>Monique Brown</t>
  </si>
  <si>
    <t>Pat Kinney</t>
  </si>
  <si>
    <t>Roberto Aiello</t>
  </si>
  <si>
    <t>Ruben Salazar</t>
  </si>
  <si>
    <t>Shusaku Shimada</t>
  </si>
  <si>
    <t>Steve Shearer</t>
  </si>
  <si>
    <t>ETRI</t>
  </si>
  <si>
    <t>Tim Schmidl</t>
  </si>
  <si>
    <t>Ed Callaway</t>
  </si>
  <si>
    <t>Michael Bahr</t>
  </si>
  <si>
    <t>Chin-Sean Sum</t>
  </si>
  <si>
    <t>CheolHo Shin</t>
  </si>
  <si>
    <t>Kazuyuki Yasukawa</t>
  </si>
  <si>
    <t>Sangsung Choi</t>
  </si>
  <si>
    <t>TaeJoon Park</t>
  </si>
  <si>
    <t>Xiang Wang</t>
  </si>
  <si>
    <t>Michael Schmidt</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</si>
  <si>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</si>
  <si>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</si>
  <si>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</si>
  <si>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</si>
  <si>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</si>
  <si>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</si>
  <si>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</si>
  <si>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</si>
  <si>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</si>
  <si>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</si>
  <si>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</si>
  <si>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</si>
  <si>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</si>
  <si>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</si>
  <si>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</si>
  <si>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</si>
  <si>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</si>
  <si>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</si>
  <si>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</si>
  <si>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</si>
  <si>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</si>
  <si>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</si>
  <si>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</si>
  <si>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</si>
  <si>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</si>
  <si>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</si>
  <si>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</si>
  <si>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</si>
  <si>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</si>
  <si>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</si>
  <si>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</si>
  <si>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</si>
  <si>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</si>
  <si>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</si>
  <si>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</si>
  <si>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</si>
  <si>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</si>
  <si>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</si>
  <si>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</si>
  <si>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</si>
  <si>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</si>
  <si>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</si>
  <si>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</si>
  <si>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</si>
  <si>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</si>
  <si>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</si>
  <si>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</si>
  <si>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</si>
  <si>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</si>
  <si>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</si>
  <si>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</si>
  <si>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</si>
  <si>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</si>
  <si>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</si>
  <si>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</si>
  <si>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</si>
  <si>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</si>
  <si>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</si>
  <si>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</si>
  <si>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</si>
  <si>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</si>
  <si>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</si>
  <si>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</si>
  <si>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</si>
  <si>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</si>
  <si>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</si>
  <si>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</si>
  <si>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</si>
  <si>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</si>
  <si>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</si>
  <si>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</si>
  <si>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</si>
  <si>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</si>
  <si>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PICS</t>
  </si>
  <si>
    <t>Shah</t>
  </si>
  <si>
    <t>for wp
T/G
Grp Stats</t>
  </si>
  <si>
    <t>for rdy2vote
T/G
Grp Stats</t>
  </si>
  <si>
    <t>WP</t>
  </si>
  <si>
    <t>Time</t>
  </si>
  <si>
    <t>Delayed ACK</t>
  </si>
  <si>
    <t>Are Computed Tallys Correct</t>
  </si>
  <si>
    <t>Assigned and Unclosed T's and G's</t>
  </si>
  <si>
    <t>Not Assigned</t>
  </si>
  <si>
    <t>d3P802-15-4g_Draft_Standard</t>
  </si>
  <si>
    <t>March 2011</t>
  </si>
  <si>
    <t>SUN PHY Capabilities IE</t>
  </si>
  <si>
    <t>8.1.2.5a</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</si>
  <si>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</si>
  <si>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</si>
  <si>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</si>
  <si>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</si>
  <si>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</si>
  <si>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</si>
  <si>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</si>
  <si>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</si>
  <si>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</si>
  <si>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</si>
  <si>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</si>
  <si>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</si>
  <si>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</si>
  <si>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</si>
  <si>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</si>
  <si>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</si>
  <si>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</si>
  <si>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</si>
  <si>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In Table 67a, OFDM Option1 (1.2MHz ChanSpacing) is not allowed in 950MHz band under Japanese regulation.</t>
  </si>
  <si>
    <t>Remove the entry</t>
  </si>
  <si>
    <t>Yang Yang</t>
  </si>
  <si>
    <t>8.1.1</t>
  </si>
  <si>
    <t>Xing Tao</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</si>
  <si>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</si>
  <si>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</si>
  <si>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</si>
  <si>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</si>
  <si>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</si>
  <si>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</si>
  <si>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</si>
  <si>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</si>
  <si>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</si>
  <si>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</si>
  <si>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</si>
  <si>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</si>
  <si>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</si>
  <si>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</si>
  <si>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</si>
  <si>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</si>
  <si>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16.2.1.1.3</t>
  </si>
  <si>
    <t>For Option 4, the repetition length is 1/2, not 1/4, to match the figure.</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</si>
  <si>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</si>
  <si>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</si>
  <si>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</si>
  <si>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</si>
  <si>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</si>
  <si>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</si>
  <si>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</si>
  <si>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</si>
  <si>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CSM</t>
  </si>
  <si>
    <t>CCA</t>
  </si>
  <si>
    <t>8.1.2.7</t>
  </si>
  <si>
    <t>Kunal Shah</t>
  </si>
  <si>
    <t>Steve Jillings</t>
  </si>
  <si>
    <t>PHY</t>
  </si>
  <si>
    <t>Joachim W. Walewski</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</si>
  <si>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</si>
  <si>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</si>
  <si>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CheolHo Shin</t>
  </si>
  <si>
    <t>ETRI</t>
  </si>
  <si>
    <t>T</t>
  </si>
  <si>
    <t>Y</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</si>
  <si>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</si>
  <si>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</si>
  <si>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</si>
  <si>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</si>
  <si>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</si>
  <si>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</si>
  <si>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</si>
  <si>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</si>
  <si>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</si>
  <si>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</si>
  <si>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</si>
  <si>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</si>
  <si>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</si>
  <si>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</si>
  <si>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</si>
  <si>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</si>
  <si>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</si>
  <si>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Kiyoshi Fukui</t>
  </si>
  <si>
    <t>Mark Wilbur</t>
  </si>
  <si>
    <t>Transmission, Reception and Ack/Asynchronous Ack</t>
  </si>
  <si>
    <t>802.15.4g Letter Ballot 67 Comment Submissions</t>
  </si>
  <si>
    <t>Generic PHY</t>
  </si>
  <si>
    <t>Sakamoto</t>
  </si>
  <si>
    <t>Mason</t>
  </si>
  <si>
    <t>Beecher</t>
  </si>
  <si>
    <t>Van Wyk</t>
  </si>
  <si>
    <t>Harada</t>
  </si>
  <si>
    <t>Monnerie</t>
  </si>
  <si>
    <t>wp</t>
  </si>
  <si>
    <t>Proposed Accept in Principle. Use the following formula in the text: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</si>
  <si>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Proposed Accept.</t>
  </si>
  <si>
    <t>Proposed Accept in Principle. Resolved through CID 114</t>
  </si>
  <si>
    <t>Proposed Accept in Principle. Add a ceiling function around the "6 x phySymbolsPerOctet" section of the formula.</t>
  </si>
  <si>
    <t>Proposed Accept in Principle. Remove the sentence starting with "For the OFDM PHY,…". Add ", MR-OFDM" after " For the MR-FSK"</t>
  </si>
  <si>
    <t>Proposed Accept in Principle. Add a text before table J.1 saying: "the octets are read LSB first.".
In addition all the tables in annex J need to be recomputed using this convention. The new values will be provided to the technical editors.</t>
  </si>
  <si>
    <t>Proposed Reject. The new structure is reflected in table 67g through the use of reserved bits for MCS levels corresponding to bits 6, 7 and 8.</t>
  </si>
  <si>
    <t>Proposed Accept in Principle. Resolved as in comment CID 19.</t>
  </si>
  <si>
    <t>Proposed Accept in Principle. Resolved as in comment CID 20.</t>
  </si>
  <si>
    <t>Proposed Accept in Principle. Resolved as in comment CID 21.</t>
  </si>
  <si>
    <t>Proposed Accept in Principle. Resolved as in comment CID 114.</t>
  </si>
  <si>
    <t>Note: need to clarify the purpose of table 67e.</t>
  </si>
  <si>
    <t>Note: pending discussion around MAC symbol definition</t>
  </si>
  <si>
    <t>Note: pending discussion around Chinese regulations</t>
  </si>
  <si>
    <t>Note: pending discussion around annex J.</t>
  </si>
  <si>
    <t>Proposed Accept in Principle.  Change the text in J.3.3 to include the new interleaving values and also remove the statement saying that there is no change in the bit position. The new values will be provided to the technical editors.</t>
  </si>
  <si>
    <t>Note: discussion in progress. Need to confirm this with other Chinese participants.</t>
  </si>
  <si>
    <t>E-mail: emmanuel . monnerie @ landisgyr .com</t>
  </si>
  <si>
    <t>Proposed resolutions for some OFDM-related comments from 802.15 TG4g Letter Ballot 67</t>
  </si>
  <si>
    <t>LB67 comment resolution</t>
  </si>
  <si>
    <t>Monnerie1</t>
  </si>
  <si>
    <t>Monnerie2</t>
  </si>
  <si>
    <t>15-11-0257-00-004g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</si>
</sst>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47">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i/>
      <sz val="10"/>
      <name val="Arial"/>
      <family val="2"/>
    </font>
    <font>
      <b/>
      <sz val="12"/>
      <name val="Arial"/>
      <family val="2"/>
    </font>
    <font>
      <sz val="12"/>
      <name val="Arial"/>
      <family val="2"/>
    </font>
    <font>
      <b/>
      <i/>
      <sz val="10"/>
      <name val="Arial"/>
      <family val="2"/>
    </font>
    <font>
      <sz val="11"/>
      <color indexed="9"/>
      <name val="Calibri"/>
      <family val="2"/>
    </font>
    <font>
      <sz val="10"/>
      <color indexed="20"/>
      <name val="Arial"/>
      <family val="2"/>
    </font>
    <font>
      <b/>
      <sz val="11"/>
      <color indexed="52"/>
      <name val="Calibri"/>
      <family val="2"/>
    </font>
    <font>
      <b/>
      <sz val="11"/>
      <color indexed="9"/>
      <name val="Calibri"/>
      <family val="2"/>
    </font>
    <font>
      <i/>
      <sz val="11"/>
      <color indexed="23"/>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0"/>
      <color rgb="FF0061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0" borderId="0" xfId="55">
      <alignment/>
      <protection/>
    </xf>
    <xf numFmtId="0" fontId="3" fillId="0" borderId="0" xfId="55" applyFont="1">
      <alignment/>
      <protection/>
    </xf>
    <xf numFmtId="0" fontId="4" fillId="0" borderId="0" xfId="55" applyFont="1" applyAlignment="1">
      <alignment horizontal="center"/>
      <protection/>
    </xf>
    <xf numFmtId="0" fontId="5" fillId="0" borderId="10" xfId="55" applyFont="1" applyBorder="1" applyAlignment="1">
      <alignment vertical="top" wrapText="1"/>
      <protection/>
    </xf>
    <xf numFmtId="0" fontId="5" fillId="0" borderId="11" xfId="55" applyFont="1" applyBorder="1" applyAlignment="1">
      <alignment vertical="top" wrapText="1"/>
      <protection/>
    </xf>
    <xf numFmtId="0" fontId="5" fillId="0" borderId="0" xfId="55" applyFont="1" applyAlignment="1">
      <alignment vertical="top" wrapText="1"/>
      <protection/>
    </xf>
    <xf numFmtId="0" fontId="5" fillId="0" borderId="12" xfId="55" applyFont="1" applyBorder="1" applyAlignment="1">
      <alignment vertical="top" wrapText="1"/>
      <protection/>
    </xf>
    <xf numFmtId="0" fontId="5" fillId="0" borderId="0" xfId="55" applyFont="1" applyAlignment="1">
      <alignment horizontal="left"/>
      <protection/>
    </xf>
    <xf numFmtId="0" fontId="0" fillId="0" borderId="0" xfId="55"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0"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1"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165" fontId="0" fillId="0" borderId="0" xfId="0" applyNumberFormat="1" applyFill="1" applyAlignment="1">
      <alignment horizontal="center" vertical="top" wrapText="1"/>
    </xf>
    <xf numFmtId="0" fontId="11" fillId="0" borderId="0" xfId="0" applyFont="1" applyAlignment="1">
      <alignment horizontal="right" vertical="center"/>
    </xf>
    <xf numFmtId="0" fontId="11"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1" fillId="0" borderId="13" xfId="0" applyNumberFormat="1" applyFont="1" applyBorder="1" applyAlignment="1">
      <alignment/>
    </xf>
    <xf numFmtId="49" fontId="2" fillId="0" borderId="0" xfId="55"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2" fillId="0" borderId="0" xfId="0" applyFont="1" applyAlignment="1">
      <alignment horizontal="center"/>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5" fillId="0" borderId="14" xfId="0" applyFont="1" applyBorder="1" applyAlignment="1">
      <alignment/>
    </xf>
    <xf numFmtId="0" fontId="5" fillId="0" borderId="0" xfId="55" applyFont="1" applyBorder="1" applyAlignment="1">
      <alignment vertical="top" wrapText="1"/>
      <protection/>
    </xf>
    <xf numFmtId="0" fontId="0" fillId="0" borderId="0" xfId="55" applyBorder="1">
      <alignment/>
      <protection/>
    </xf>
    <xf numFmtId="0" fontId="11" fillId="0" borderId="0" xfId="55" applyFont="1">
      <alignment/>
      <protection/>
    </xf>
    <xf numFmtId="0" fontId="5" fillId="0" borderId="0" xfId="55" applyFont="1" applyBorder="1">
      <alignment/>
      <protection/>
    </xf>
    <xf numFmtId="0" fontId="0" fillId="3" borderId="0" xfId="0" applyFill="1" applyAlignment="1">
      <alignment horizontal="center" vertical="top" wrapText="1"/>
    </xf>
    <xf numFmtId="0" fontId="0" fillId="3" borderId="0" xfId="0" applyFill="1" applyAlignment="1">
      <alignment horizontal="left" vertical="top" wrapText="1"/>
    </xf>
    <xf numFmtId="49" fontId="0" fillId="3" borderId="0" xfId="0" applyNumberFormat="1" applyFill="1" applyAlignment="1">
      <alignment horizontal="center" vertical="top" wrapText="1"/>
    </xf>
    <xf numFmtId="165" fontId="0" fillId="3" borderId="0" xfId="0" applyNumberFormat="1" applyFill="1" applyAlignment="1">
      <alignment horizontal="center" vertical="top" wrapText="1"/>
    </xf>
    <xf numFmtId="165" fontId="0" fillId="3" borderId="0" xfId="0" applyNumberFormat="1" applyFill="1" applyAlignment="1">
      <alignment vertical="top" wrapText="1"/>
    </xf>
    <xf numFmtId="0" fontId="0" fillId="3" borderId="0" xfId="0" applyFill="1" applyAlignment="1">
      <alignment vertical="top" wrapText="1"/>
    </xf>
    <xf numFmtId="49" fontId="0" fillId="3" borderId="0" xfId="0" applyNumberFormat="1" applyFont="1" applyFill="1" applyBorder="1" applyAlignment="1">
      <alignment horizontal="center" vertical="top" wrapText="1"/>
    </xf>
    <xf numFmtId="0" fontId="0" fillId="3" borderId="0" xfId="0" applyFont="1" applyFill="1" applyAlignment="1">
      <alignment vertical="top" wrapText="1"/>
    </xf>
    <xf numFmtId="165" fontId="0" fillId="3" borderId="0" xfId="0" applyNumberFormat="1" applyFont="1" applyFill="1" applyAlignment="1">
      <alignment horizontal="center" vertical="top" wrapText="1"/>
    </xf>
    <xf numFmtId="165" fontId="0" fillId="3" borderId="0" xfId="0" applyNumberFormat="1" applyFont="1" applyFill="1" applyAlignment="1">
      <alignment vertical="top" wrapText="1"/>
    </xf>
    <xf numFmtId="0" fontId="0" fillId="3" borderId="0" xfId="0" applyFont="1" applyFill="1" applyAlignment="1">
      <alignment horizontal="center" vertical="top" wrapText="1"/>
    </xf>
    <xf numFmtId="0" fontId="0" fillId="3" borderId="0" xfId="0" applyNumberFormat="1" applyFill="1"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0" fillId="4" borderId="0" xfId="0" applyFill="1" applyBorder="1" applyAlignment="1">
      <alignment horizontal="left" vertical="top" wrapText="1"/>
    </xf>
    <xf numFmtId="49" fontId="0" fillId="4" borderId="0" xfId="0" applyNumberFormat="1" applyFill="1" applyAlignment="1">
      <alignment horizontal="center" vertical="top" wrapText="1"/>
    </xf>
    <xf numFmtId="165" fontId="0" fillId="4" borderId="0" xfId="0" applyNumberFormat="1" applyFont="1" applyFill="1" applyAlignment="1">
      <alignment horizontal="center" vertical="top" wrapText="1"/>
    </xf>
    <xf numFmtId="165" fontId="0" fillId="4" borderId="0" xfId="0" applyNumberFormat="1" applyFill="1" applyAlignment="1">
      <alignment vertical="top" wrapText="1"/>
    </xf>
    <xf numFmtId="0" fontId="0" fillId="4" borderId="0" xfId="0" applyFill="1" applyAlignment="1">
      <alignment vertical="top" wrapText="1"/>
    </xf>
    <xf numFmtId="165" fontId="0" fillId="4" borderId="0" xfId="0" applyNumberFormat="1" applyFill="1" applyAlignment="1">
      <alignment horizontal="center" vertical="top" wrapText="1"/>
    </xf>
    <xf numFmtId="49" fontId="0" fillId="4" borderId="0" xfId="0" applyNumberFormat="1" applyFont="1" applyFill="1" applyBorder="1" applyAlignment="1">
      <alignment horizontal="center" vertical="top" wrapText="1"/>
    </xf>
    <xf numFmtId="0" fontId="0" fillId="4" borderId="0" xfId="0" applyFont="1" applyFill="1" applyAlignment="1">
      <alignment vertical="top" wrapText="1"/>
    </xf>
    <xf numFmtId="49" fontId="0" fillId="4" borderId="0" xfId="0" applyNumberFormat="1" applyFill="1" applyAlignment="1">
      <alignment horizontal="left" vertical="top" wrapText="1"/>
    </xf>
    <xf numFmtId="0" fontId="0" fillId="4" borderId="0" xfId="0" applyFont="1" applyFill="1" applyAlignment="1">
      <alignment horizontal="center" vertical="top" wrapText="1"/>
    </xf>
    <xf numFmtId="0" fontId="0" fillId="4" borderId="0" xfId="0" applyFont="1" applyFill="1" applyAlignment="1">
      <alignment vertical="top" wrapText="1"/>
    </xf>
    <xf numFmtId="0" fontId="5" fillId="0" borderId="11" xfId="55" applyFont="1" applyBorder="1" applyAlignment="1">
      <alignment vertical="top" wrapText="1"/>
      <protection/>
    </xf>
    <xf numFmtId="0" fontId="4" fillId="0" borderId="11" xfId="55" applyFont="1" applyBorder="1" applyAlignment="1">
      <alignment vertical="top" wrapText="1"/>
      <protection/>
    </xf>
    <xf numFmtId="164" fontId="5" fillId="0" borderId="11" xfId="55" applyNumberFormat="1" applyFont="1" applyBorder="1" applyAlignment="1">
      <alignment horizontal="left" vertical="top" wrapText="1"/>
      <protection/>
    </xf>
    <xf numFmtId="0" fontId="6" fillId="0" borderId="12"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zoomScalePageLayoutView="0" workbookViewId="0" topLeftCell="A1">
      <selection activeCell="C10" sqref="C10"/>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1" t="s">
        <v>145</v>
      </c>
      <c r="C1" s="2"/>
      <c r="D1" s="42" t="s">
        <v>261</v>
      </c>
    </row>
    <row r="3" ht="18.75">
      <c r="C3" s="3" t="s">
        <v>0</v>
      </c>
    </row>
    <row r="4" ht="18.75">
      <c r="C4" s="3" t="s">
        <v>1</v>
      </c>
    </row>
    <row r="5" ht="18.75">
      <c r="B5" s="3"/>
    </row>
    <row r="6" spans="2:4" ht="15.75" customHeight="1">
      <c r="B6" s="4" t="s">
        <v>2</v>
      </c>
      <c r="C6" s="79" t="s">
        <v>3</v>
      </c>
      <c r="D6" s="79"/>
    </row>
    <row r="7" spans="2:4" ht="18.75" customHeight="1">
      <c r="B7" s="4" t="s">
        <v>4</v>
      </c>
      <c r="C7" s="80" t="s">
        <v>230</v>
      </c>
      <c r="D7" s="80"/>
    </row>
    <row r="8" spans="2:4" ht="15.75" customHeight="1">
      <c r="B8" s="4" t="s">
        <v>5</v>
      </c>
      <c r="C8" s="81">
        <v>40617</v>
      </c>
      <c r="D8" s="81"/>
    </row>
    <row r="9" spans="2:7" ht="15.75">
      <c r="B9" s="79" t="s">
        <v>6</v>
      </c>
      <c r="C9" s="50" t="s">
        <v>39</v>
      </c>
      <c r="D9" s="6" t="s">
        <v>256</v>
      </c>
      <c r="F9" s="6"/>
      <c r="G9" s="6"/>
    </row>
    <row r="10" spans="2:6" ht="15.75">
      <c r="B10" s="79"/>
      <c r="C10" s="6"/>
      <c r="D10" s="52"/>
      <c r="F10" s="51"/>
    </row>
    <row r="11" spans="2:4" ht="15.75">
      <c r="B11" s="79"/>
      <c r="C11" s="6"/>
      <c r="D11" s="6"/>
    </row>
    <row r="12" spans="2:4" ht="15.75">
      <c r="B12" s="79"/>
      <c r="C12" s="53"/>
      <c r="D12" s="52"/>
    </row>
    <row r="13" spans="2:4" ht="14.25" customHeight="1">
      <c r="B13" s="79" t="s">
        <v>7</v>
      </c>
      <c r="C13" s="49" t="s">
        <v>144</v>
      </c>
      <c r="D13" s="4"/>
    </row>
    <row r="14" spans="2:4" ht="15.75" customHeight="1">
      <c r="B14" s="79"/>
      <c r="C14" s="82"/>
      <c r="D14" s="82"/>
    </row>
    <row r="15" spans="2:3" ht="15.75">
      <c r="B15" s="79"/>
      <c r="C15" s="8"/>
    </row>
    <row r="16" spans="2:4" ht="15.75" customHeight="1">
      <c r="B16" s="4" t="s">
        <v>8</v>
      </c>
      <c r="C16" s="79" t="s">
        <v>257</v>
      </c>
      <c r="D16" s="79"/>
    </row>
    <row r="17" spans="2:4" s="9" customFormat="1" ht="20.25" customHeight="1">
      <c r="B17" s="4" t="s">
        <v>9</v>
      </c>
      <c r="C17" s="79" t="s">
        <v>258</v>
      </c>
      <c r="D17" s="79"/>
    </row>
    <row r="18" spans="2:4" s="9" customFormat="1" ht="84" customHeight="1">
      <c r="B18" s="5" t="s">
        <v>10</v>
      </c>
      <c r="C18" s="79" t="s">
        <v>11</v>
      </c>
      <c r="D18" s="79"/>
    </row>
    <row r="19" spans="2:4" s="9" customFormat="1" ht="36.75" customHeight="1">
      <c r="B19" s="7" t="s">
        <v>12</v>
      </c>
      <c r="C19" s="79" t="s">
        <v>13</v>
      </c>
      <c r="D19" s="79"/>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26"/>
  <sheetViews>
    <sheetView tabSelected="1" zoomScale="90" zoomScaleNormal="90"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G2" sqref="G2"/>
    </sheetView>
  </sheetViews>
  <sheetFormatPr defaultColWidth="8.8515625" defaultRowHeight="12.75"/>
  <cols>
    <col min="1" max="1" width="4.28125" style="15" customWidth="1"/>
    <col min="2" max="2" width="10.140625" style="11" customWidth="1"/>
    <col min="3"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5.00390625" style="15" customWidth="1"/>
    <col min="12" max="12" width="6.28125" style="15" customWidth="1"/>
    <col min="13" max="13" width="61.421875" style="16" customWidth="1"/>
    <col min="14" max="14" width="12.7109375" style="31" customWidth="1"/>
    <col min="15" max="15" width="12.7109375" style="35" customWidth="1"/>
    <col min="16" max="16" width="16.7109375" style="15" customWidth="1"/>
    <col min="17" max="17" width="20.7109375" style="34" customWidth="1"/>
    <col min="18" max="18" width="20.7109375" style="33" customWidth="1"/>
    <col min="19" max="24" width="10.7109375" style="15" customWidth="1"/>
    <col min="25" max="25" width="12.7109375" style="35" customWidth="1"/>
    <col min="26" max="26" width="15.7109375" style="46" customWidth="1"/>
    <col min="27" max="27" width="8.7109375" style="33" customWidth="1"/>
    <col min="28" max="28" width="15.7109375" style="15" customWidth="1"/>
    <col min="29" max="16384" width="8.8515625" style="33" customWidth="1"/>
  </cols>
  <sheetData>
    <row r="1" spans="1:28" s="19" customFormat="1" ht="127.5">
      <c r="A1" s="20" t="s">
        <v>65</v>
      </c>
      <c r="B1" s="19" t="s">
        <v>14</v>
      </c>
      <c r="C1" s="19" t="s">
        <v>15</v>
      </c>
      <c r="D1" s="19" t="s">
        <v>16</v>
      </c>
      <c r="E1" s="19" t="s">
        <v>17</v>
      </c>
      <c r="F1" s="19" t="s">
        <v>18</v>
      </c>
      <c r="G1" s="19" t="s">
        <v>19</v>
      </c>
      <c r="H1" s="19" t="s">
        <v>20</v>
      </c>
      <c r="I1" s="19" t="s">
        <v>21</v>
      </c>
      <c r="J1" s="19" t="s">
        <v>22</v>
      </c>
      <c r="K1" s="19" t="s">
        <v>23</v>
      </c>
      <c r="L1" s="20" t="s">
        <v>64</v>
      </c>
      <c r="M1" s="19" t="s">
        <v>61</v>
      </c>
      <c r="N1" s="32" t="s">
        <v>62</v>
      </c>
      <c r="O1" s="20" t="s">
        <v>63</v>
      </c>
      <c r="P1" s="20" t="s">
        <v>66</v>
      </c>
      <c r="Q1" s="20" t="s">
        <v>67</v>
      </c>
      <c r="R1" s="20" t="s">
        <v>68</v>
      </c>
      <c r="S1" s="20" t="s">
        <v>69</v>
      </c>
      <c r="T1" s="20" t="s">
        <v>70</v>
      </c>
      <c r="U1" s="20" t="s">
        <v>124</v>
      </c>
      <c r="V1" s="20" t="s">
        <v>125</v>
      </c>
      <c r="W1" s="20" t="s">
        <v>136</v>
      </c>
      <c r="X1" s="20" t="s">
        <v>137</v>
      </c>
      <c r="Y1" s="20" t="s">
        <v>71</v>
      </c>
      <c r="Z1" s="32" t="s">
        <v>72</v>
      </c>
      <c r="AA1" s="19" t="s">
        <v>133</v>
      </c>
      <c r="AB1" s="19" t="s">
        <v>132</v>
      </c>
    </row>
    <row r="2" spans="1:28" s="72" customFormat="1" ht="204">
      <c r="A2" s="66">
        <v>19</v>
      </c>
      <c r="B2" s="67" t="s">
        <v>57</v>
      </c>
      <c r="C2" s="67" t="s">
        <v>50</v>
      </c>
      <c r="D2" s="66" t="s">
        <v>24</v>
      </c>
      <c r="E2" s="66">
        <v>9</v>
      </c>
      <c r="F2" s="66">
        <v>9.4</v>
      </c>
      <c r="G2" s="66">
        <v>45</v>
      </c>
      <c r="H2" s="66">
        <v>46</v>
      </c>
      <c r="I2" s="67" t="s">
        <v>148</v>
      </c>
      <c r="J2" s="67" t="s">
        <v>149</v>
      </c>
      <c r="K2" s="66" t="s">
        <v>26</v>
      </c>
      <c r="L2" s="66" t="s">
        <v>97</v>
      </c>
      <c r="M2" s="68" t="s">
        <v>239</v>
      </c>
      <c r="N2" s="69" t="s">
        <v>238</v>
      </c>
      <c r="O2" s="70"/>
      <c r="P2" s="66" t="s">
        <v>259</v>
      </c>
      <c r="Q2" s="71"/>
      <c r="S2" s="66">
        <f aca="true" t="shared" si="0" ref="S2:S26">IF(D2="E",N2,"")</f>
      </c>
      <c r="T2" s="66" t="str">
        <f aca="true" t="shared" si="1" ref="T2:T26">IF(OR(D2="T",D2="G"),N2,"")</f>
        <v>wp</v>
      </c>
      <c r="U2" s="66">
        <f aca="true" t="shared" si="2" ref="U2:U26">IF(OR(T2="A",T2="AP",T2="R",T2="Z"),L2,"")</f>
      </c>
      <c r="V2" s="66">
        <f aca="true" t="shared" si="3" ref="V2:V26">IF(T2=0,L2,"")</f>
      </c>
      <c r="W2" s="66" t="str">
        <f aca="true" t="shared" si="4" ref="W2:W26">IF(T2="wp",L2,"")</f>
        <v>OFDM</v>
      </c>
      <c r="X2" s="66">
        <f aca="true" t="shared" si="5" ref="X2:X26">IF(T2="rdy2vote",L2,IF(T2="rdy2vote2",L2,""))</f>
      </c>
      <c r="Y2" s="73"/>
      <c r="Z2" s="74" t="str">
        <f aca="true" t="shared" si="6" ref="Z2:Z26">IF(OR(T2="rdy2vote",T2="wp"),P2,"")</f>
        <v>Monnerie1</v>
      </c>
      <c r="AB2" s="66"/>
    </row>
    <row r="3" spans="1:28" s="72" customFormat="1" ht="140.25">
      <c r="A3" s="66">
        <v>20</v>
      </c>
      <c r="B3" s="67" t="s">
        <v>57</v>
      </c>
      <c r="C3" s="67" t="s">
        <v>50</v>
      </c>
      <c r="D3" s="66" t="s">
        <v>24</v>
      </c>
      <c r="E3" s="66">
        <v>16</v>
      </c>
      <c r="F3" s="66" t="s">
        <v>150</v>
      </c>
      <c r="G3" s="66">
        <v>83</v>
      </c>
      <c r="H3" s="66">
        <v>33</v>
      </c>
      <c r="I3" s="67" t="s">
        <v>151</v>
      </c>
      <c r="J3" s="67" t="s">
        <v>152</v>
      </c>
      <c r="K3" s="66" t="s">
        <v>26</v>
      </c>
      <c r="L3" s="66" t="s">
        <v>97</v>
      </c>
      <c r="M3" s="68" t="s">
        <v>240</v>
      </c>
      <c r="N3" s="69" t="s">
        <v>238</v>
      </c>
      <c r="O3" s="70"/>
      <c r="P3" s="66" t="s">
        <v>259</v>
      </c>
      <c r="Q3" s="71"/>
      <c r="S3" s="66">
        <f t="shared" si="0"/>
      </c>
      <c r="T3" s="66" t="str">
        <f t="shared" si="1"/>
        <v>wp</v>
      </c>
      <c r="U3" s="66">
        <f t="shared" si="2"/>
      </c>
      <c r="V3" s="66">
        <f t="shared" si="3"/>
      </c>
      <c r="W3" s="66" t="str">
        <f t="shared" si="4"/>
        <v>OFDM</v>
      </c>
      <c r="X3" s="66">
        <f t="shared" si="5"/>
      </c>
      <c r="Y3" s="73"/>
      <c r="Z3" s="74" t="str">
        <f t="shared" si="6"/>
        <v>Monnerie1</v>
      </c>
      <c r="AB3" s="66"/>
    </row>
    <row r="4" spans="1:28" s="75" customFormat="1" ht="25.5">
      <c r="A4" s="66">
        <v>21</v>
      </c>
      <c r="B4" s="67" t="s">
        <v>57</v>
      </c>
      <c r="C4" s="67" t="s">
        <v>50</v>
      </c>
      <c r="D4" s="66" t="s">
        <v>24</v>
      </c>
      <c r="E4" s="66" t="s">
        <v>153</v>
      </c>
      <c r="F4" s="66" t="s">
        <v>154</v>
      </c>
      <c r="G4" s="66">
        <v>129</v>
      </c>
      <c r="H4" s="66">
        <v>44</v>
      </c>
      <c r="I4" s="67" t="s">
        <v>155</v>
      </c>
      <c r="J4" s="67" t="s">
        <v>156</v>
      </c>
      <c r="K4" s="66" t="s">
        <v>26</v>
      </c>
      <c r="L4" s="66" t="s">
        <v>97</v>
      </c>
      <c r="M4" s="68" t="s">
        <v>240</v>
      </c>
      <c r="N4" s="69" t="s">
        <v>238</v>
      </c>
      <c r="O4" s="70"/>
      <c r="P4" s="66" t="s">
        <v>259</v>
      </c>
      <c r="Q4" s="71"/>
      <c r="R4" s="72"/>
      <c r="S4" s="66">
        <f t="shared" si="0"/>
      </c>
      <c r="T4" s="66" t="str">
        <f t="shared" si="1"/>
        <v>wp</v>
      </c>
      <c r="U4" s="66">
        <f t="shared" si="2"/>
      </c>
      <c r="V4" s="66">
        <f t="shared" si="3"/>
      </c>
      <c r="W4" s="66" t="str">
        <f t="shared" si="4"/>
        <v>OFDM</v>
      </c>
      <c r="X4" s="66">
        <f t="shared" si="5"/>
      </c>
      <c r="Y4" s="73"/>
      <c r="Z4" s="74" t="str">
        <f t="shared" si="6"/>
        <v>Monnerie1</v>
      </c>
      <c r="AA4" s="72"/>
      <c r="AB4" s="66"/>
    </row>
    <row r="5" spans="1:28" s="75" customFormat="1" ht="25.5">
      <c r="A5" s="66">
        <v>22</v>
      </c>
      <c r="B5" s="67" t="s">
        <v>57</v>
      </c>
      <c r="C5" s="67" t="s">
        <v>50</v>
      </c>
      <c r="D5" s="66" t="s">
        <v>24</v>
      </c>
      <c r="E5" s="66" t="s">
        <v>153</v>
      </c>
      <c r="F5" s="66" t="s">
        <v>154</v>
      </c>
      <c r="G5" s="66" t="s">
        <v>157</v>
      </c>
      <c r="H5" s="66" t="s">
        <v>154</v>
      </c>
      <c r="I5" s="67" t="s">
        <v>158</v>
      </c>
      <c r="J5" s="67" t="s">
        <v>159</v>
      </c>
      <c r="K5" s="66" t="s">
        <v>26</v>
      </c>
      <c r="L5" s="66" t="s">
        <v>97</v>
      </c>
      <c r="M5" s="68" t="s">
        <v>241</v>
      </c>
      <c r="N5" s="69" t="s">
        <v>238</v>
      </c>
      <c r="O5" s="70"/>
      <c r="P5" s="66" t="s">
        <v>259</v>
      </c>
      <c r="Q5" s="71"/>
      <c r="R5" s="72"/>
      <c r="S5" s="66">
        <f t="shared" si="0"/>
      </c>
      <c r="T5" s="66" t="str">
        <f t="shared" si="1"/>
        <v>wp</v>
      </c>
      <c r="U5" s="66">
        <f t="shared" si="2"/>
      </c>
      <c r="V5" s="66">
        <f t="shared" si="3"/>
      </c>
      <c r="W5" s="66" t="str">
        <f t="shared" si="4"/>
        <v>OFDM</v>
      </c>
      <c r="X5" s="66">
        <f t="shared" si="5"/>
      </c>
      <c r="Y5" s="73"/>
      <c r="Z5" s="74" t="str">
        <f t="shared" si="6"/>
        <v>Monnerie1</v>
      </c>
      <c r="AA5" s="72"/>
      <c r="AB5" s="66"/>
    </row>
    <row r="6" spans="1:28" s="75" customFormat="1" ht="25.5">
      <c r="A6" s="66">
        <v>23</v>
      </c>
      <c r="B6" s="67" t="s">
        <v>57</v>
      </c>
      <c r="C6" s="67" t="s">
        <v>50</v>
      </c>
      <c r="D6" s="66" t="s">
        <v>24</v>
      </c>
      <c r="E6" s="66" t="s">
        <v>153</v>
      </c>
      <c r="F6" s="66" t="s">
        <v>154</v>
      </c>
      <c r="G6" s="66">
        <v>137</v>
      </c>
      <c r="H6" s="66" t="s">
        <v>160</v>
      </c>
      <c r="I6" s="67" t="s">
        <v>161</v>
      </c>
      <c r="J6" s="67" t="s">
        <v>162</v>
      </c>
      <c r="K6" s="66" t="s">
        <v>26</v>
      </c>
      <c r="L6" s="66" t="s">
        <v>97</v>
      </c>
      <c r="M6" s="68" t="s">
        <v>241</v>
      </c>
      <c r="N6" s="69" t="s">
        <v>238</v>
      </c>
      <c r="O6" s="70"/>
      <c r="P6" s="66" t="s">
        <v>259</v>
      </c>
      <c r="Q6" s="71"/>
      <c r="R6" s="72"/>
      <c r="S6" s="66">
        <f t="shared" si="0"/>
      </c>
      <c r="T6" s="66" t="str">
        <f t="shared" si="1"/>
        <v>wp</v>
      </c>
      <c r="U6" s="66">
        <f t="shared" si="2"/>
      </c>
      <c r="V6" s="66">
        <f t="shared" si="3"/>
      </c>
      <c r="W6" s="66" t="str">
        <f t="shared" si="4"/>
        <v>OFDM</v>
      </c>
      <c r="X6" s="66">
        <f t="shared" si="5"/>
      </c>
      <c r="Y6" s="73"/>
      <c r="Z6" s="74" t="str">
        <f t="shared" si="6"/>
        <v>Monnerie1</v>
      </c>
      <c r="AA6" s="72"/>
      <c r="AB6" s="66"/>
    </row>
    <row r="7" spans="1:28" s="61" customFormat="1" ht="25.5">
      <c r="A7" s="54">
        <v>24</v>
      </c>
      <c r="B7" s="55" t="s">
        <v>57</v>
      </c>
      <c r="C7" s="55" t="s">
        <v>50</v>
      </c>
      <c r="D7" s="54" t="s">
        <v>24</v>
      </c>
      <c r="E7" s="54" t="s">
        <v>153</v>
      </c>
      <c r="F7" s="54" t="s">
        <v>154</v>
      </c>
      <c r="G7" s="54" t="s">
        <v>163</v>
      </c>
      <c r="H7" s="54" t="s">
        <v>154</v>
      </c>
      <c r="I7" s="55" t="s">
        <v>148</v>
      </c>
      <c r="J7" s="55" t="s">
        <v>164</v>
      </c>
      <c r="K7" s="54" t="s">
        <v>26</v>
      </c>
      <c r="L7" s="54" t="s">
        <v>97</v>
      </c>
      <c r="M7" s="55" t="s">
        <v>253</v>
      </c>
      <c r="N7" s="56" t="s">
        <v>238</v>
      </c>
      <c r="O7" s="57"/>
      <c r="P7" s="54" t="s">
        <v>260</v>
      </c>
      <c r="Q7" s="58"/>
      <c r="R7" s="59"/>
      <c r="S7" s="54">
        <f t="shared" si="0"/>
      </c>
      <c r="T7" s="54" t="str">
        <f t="shared" si="1"/>
        <v>wp</v>
      </c>
      <c r="U7" s="54">
        <f t="shared" si="2"/>
      </c>
      <c r="V7" s="54">
        <f t="shared" si="3"/>
      </c>
      <c r="W7" s="54" t="str">
        <f t="shared" si="4"/>
        <v>OFDM</v>
      </c>
      <c r="X7" s="54">
        <f t="shared" si="5"/>
      </c>
      <c r="Y7" s="57"/>
      <c r="Z7" s="60" t="str">
        <f t="shared" si="6"/>
        <v>Monnerie2</v>
      </c>
      <c r="AA7" s="59"/>
      <c r="AB7" s="54"/>
    </row>
    <row r="8" spans="1:28" s="75" customFormat="1" ht="38.25">
      <c r="A8" s="66">
        <v>30</v>
      </c>
      <c r="B8" s="67" t="s">
        <v>56</v>
      </c>
      <c r="C8" s="67" t="s">
        <v>165</v>
      </c>
      <c r="D8" s="66" t="s">
        <v>24</v>
      </c>
      <c r="E8" s="66">
        <v>8</v>
      </c>
      <c r="F8" s="66" t="s">
        <v>147</v>
      </c>
      <c r="G8" s="66">
        <v>31</v>
      </c>
      <c r="H8" s="66">
        <v>45</v>
      </c>
      <c r="I8" s="76" t="s">
        <v>166</v>
      </c>
      <c r="J8" s="67" t="s">
        <v>167</v>
      </c>
      <c r="K8" s="66"/>
      <c r="L8" s="66" t="s">
        <v>97</v>
      </c>
      <c r="M8" s="67" t="s">
        <v>240</v>
      </c>
      <c r="N8" s="69" t="s">
        <v>238</v>
      </c>
      <c r="O8" s="73"/>
      <c r="P8" s="66" t="s">
        <v>259</v>
      </c>
      <c r="Q8" s="71"/>
      <c r="R8" s="72"/>
      <c r="S8" s="66">
        <f t="shared" si="0"/>
      </c>
      <c r="T8" s="66" t="str">
        <f t="shared" si="1"/>
        <v>wp</v>
      </c>
      <c r="U8" s="66">
        <f t="shared" si="2"/>
      </c>
      <c r="V8" s="66">
        <f t="shared" si="3"/>
      </c>
      <c r="W8" s="66" t="str">
        <f t="shared" si="4"/>
        <v>OFDM</v>
      </c>
      <c r="X8" s="66">
        <f t="shared" si="5"/>
      </c>
      <c r="Y8" s="73"/>
      <c r="Z8" s="74" t="str">
        <f t="shared" si="6"/>
        <v>Monnerie1</v>
      </c>
      <c r="AA8" s="72"/>
      <c r="AB8" s="66"/>
    </row>
    <row r="9" spans="1:28" s="61" customFormat="1" ht="76.5">
      <c r="A9" s="54">
        <v>74</v>
      </c>
      <c r="B9" s="55" t="s">
        <v>59</v>
      </c>
      <c r="C9" s="55" t="s">
        <v>171</v>
      </c>
      <c r="D9" s="54" t="s">
        <v>24</v>
      </c>
      <c r="E9" s="54">
        <v>8</v>
      </c>
      <c r="F9" s="54" t="s">
        <v>147</v>
      </c>
      <c r="G9" s="54">
        <v>30</v>
      </c>
      <c r="H9" s="54">
        <v>30</v>
      </c>
      <c r="I9" s="55" t="s">
        <v>172</v>
      </c>
      <c r="J9" s="55" t="s">
        <v>173</v>
      </c>
      <c r="K9" s="54" t="s">
        <v>29</v>
      </c>
      <c r="L9" s="54" t="s">
        <v>97</v>
      </c>
      <c r="M9" s="55" t="s">
        <v>255</v>
      </c>
      <c r="N9" s="56" t="s">
        <v>238</v>
      </c>
      <c r="O9" s="62"/>
      <c r="P9" s="54" t="s">
        <v>260</v>
      </c>
      <c r="Q9" s="63"/>
      <c r="S9" s="54">
        <f t="shared" si="0"/>
      </c>
      <c r="T9" s="54" t="str">
        <f t="shared" si="1"/>
        <v>wp</v>
      </c>
      <c r="U9" s="54">
        <f t="shared" si="2"/>
      </c>
      <c r="V9" s="54">
        <f t="shared" si="3"/>
      </c>
      <c r="W9" s="54" t="str">
        <f t="shared" si="4"/>
        <v>OFDM</v>
      </c>
      <c r="X9" s="54">
        <f t="shared" si="5"/>
      </c>
      <c r="Y9" s="57"/>
      <c r="Z9" s="60" t="str">
        <f t="shared" si="6"/>
        <v>Monnerie2</v>
      </c>
      <c r="AB9" s="64"/>
    </row>
    <row r="10" spans="1:28" s="61" customFormat="1" ht="229.5">
      <c r="A10" s="54">
        <v>82</v>
      </c>
      <c r="B10" s="55" t="s">
        <v>51</v>
      </c>
      <c r="C10" s="55" t="s">
        <v>34</v>
      </c>
      <c r="D10" s="54" t="s">
        <v>24</v>
      </c>
      <c r="E10" s="54">
        <v>5</v>
      </c>
      <c r="F10" s="54">
        <v>5.1</v>
      </c>
      <c r="G10" s="54">
        <v>7</v>
      </c>
      <c r="H10" s="54">
        <v>8</v>
      </c>
      <c r="I10" s="55" t="s">
        <v>174</v>
      </c>
      <c r="J10" s="65" t="s">
        <v>175</v>
      </c>
      <c r="K10" s="54" t="s">
        <v>29</v>
      </c>
      <c r="L10" s="54" t="s">
        <v>97</v>
      </c>
      <c r="M10" s="55" t="s">
        <v>251</v>
      </c>
      <c r="N10" s="56" t="s">
        <v>238</v>
      </c>
      <c r="O10" s="57"/>
      <c r="P10" s="54" t="s">
        <v>260</v>
      </c>
      <c r="Q10" s="58"/>
      <c r="R10" s="59"/>
      <c r="S10" s="54">
        <f t="shared" si="0"/>
      </c>
      <c r="T10" s="54" t="str">
        <f t="shared" si="1"/>
        <v>wp</v>
      </c>
      <c r="U10" s="54">
        <f t="shared" si="2"/>
      </c>
      <c r="V10" s="54">
        <f t="shared" si="3"/>
      </c>
      <c r="W10" s="54" t="str">
        <f t="shared" si="4"/>
        <v>OFDM</v>
      </c>
      <c r="X10" s="54">
        <f t="shared" si="5"/>
      </c>
      <c r="Y10" s="57"/>
      <c r="Z10" s="60" t="str">
        <f t="shared" si="6"/>
        <v>Monnerie2</v>
      </c>
      <c r="AA10" s="59"/>
      <c r="AB10" s="54"/>
    </row>
    <row r="11" spans="1:28" s="75" customFormat="1" ht="38.25">
      <c r="A11" s="66">
        <v>88</v>
      </c>
      <c r="B11" s="67" t="s">
        <v>51</v>
      </c>
      <c r="C11" s="67" t="s">
        <v>34</v>
      </c>
      <c r="D11" s="66" t="s">
        <v>24</v>
      </c>
      <c r="E11" s="66">
        <v>6</v>
      </c>
      <c r="F11" s="66" t="s">
        <v>176</v>
      </c>
      <c r="G11" s="66">
        <v>26</v>
      </c>
      <c r="H11" s="66">
        <v>9</v>
      </c>
      <c r="I11" s="67" t="s">
        <v>177</v>
      </c>
      <c r="J11" s="67" t="s">
        <v>178</v>
      </c>
      <c r="K11" s="66" t="s">
        <v>29</v>
      </c>
      <c r="L11" s="66" t="s">
        <v>97</v>
      </c>
      <c r="M11" s="67" t="s">
        <v>242</v>
      </c>
      <c r="N11" s="69" t="s">
        <v>238</v>
      </c>
      <c r="O11" s="73"/>
      <c r="P11" s="66" t="s">
        <v>259</v>
      </c>
      <c r="Q11" s="71"/>
      <c r="R11" s="72"/>
      <c r="S11" s="66">
        <f t="shared" si="0"/>
      </c>
      <c r="T11" s="66" t="str">
        <f t="shared" si="1"/>
        <v>wp</v>
      </c>
      <c r="U11" s="66">
        <f t="shared" si="2"/>
      </c>
      <c r="V11" s="66">
        <f t="shared" si="3"/>
      </c>
      <c r="W11" s="66" t="str">
        <f t="shared" si="4"/>
        <v>OFDM</v>
      </c>
      <c r="X11" s="66">
        <f t="shared" si="5"/>
      </c>
      <c r="Y11" s="73"/>
      <c r="Z11" s="74" t="str">
        <f t="shared" si="6"/>
        <v>Monnerie1</v>
      </c>
      <c r="AA11" s="72"/>
      <c r="AB11" s="66"/>
    </row>
    <row r="12" spans="1:28" s="61" customFormat="1" ht="63.75">
      <c r="A12" s="54">
        <v>89</v>
      </c>
      <c r="B12" s="55" t="s">
        <v>51</v>
      </c>
      <c r="C12" s="55" t="s">
        <v>34</v>
      </c>
      <c r="D12" s="54" t="s">
        <v>24</v>
      </c>
      <c r="E12" s="54">
        <v>8</v>
      </c>
      <c r="F12" s="54" t="s">
        <v>169</v>
      </c>
      <c r="G12" s="54">
        <v>27</v>
      </c>
      <c r="H12" s="54">
        <v>43</v>
      </c>
      <c r="I12" s="55" t="s">
        <v>179</v>
      </c>
      <c r="J12" s="55" t="s">
        <v>180</v>
      </c>
      <c r="K12" s="54" t="s">
        <v>29</v>
      </c>
      <c r="L12" s="54" t="s">
        <v>97</v>
      </c>
      <c r="M12" s="55" t="s">
        <v>252</v>
      </c>
      <c r="N12" s="56" t="s">
        <v>238</v>
      </c>
      <c r="O12" s="57"/>
      <c r="P12" s="54" t="s">
        <v>260</v>
      </c>
      <c r="Q12" s="58"/>
      <c r="R12" s="59"/>
      <c r="S12" s="54">
        <f t="shared" si="0"/>
      </c>
      <c r="T12" s="54" t="str">
        <f t="shared" si="1"/>
        <v>wp</v>
      </c>
      <c r="U12" s="54">
        <f t="shared" si="2"/>
      </c>
      <c r="V12" s="54">
        <f t="shared" si="3"/>
      </c>
      <c r="W12" s="54" t="str">
        <f t="shared" si="4"/>
        <v>OFDM</v>
      </c>
      <c r="X12" s="54">
        <f t="shared" si="5"/>
      </c>
      <c r="Y12" s="57"/>
      <c r="Z12" s="60" t="str">
        <f t="shared" si="6"/>
        <v>Monnerie2</v>
      </c>
      <c r="AA12" s="59"/>
      <c r="AB12" s="54"/>
    </row>
    <row r="13" spans="1:28" s="61" customFormat="1" ht="51">
      <c r="A13" s="54">
        <v>90</v>
      </c>
      <c r="B13" s="55" t="s">
        <v>51</v>
      </c>
      <c r="C13" s="55" t="s">
        <v>34</v>
      </c>
      <c r="D13" s="54" t="s">
        <v>24</v>
      </c>
      <c r="E13" s="54">
        <v>8</v>
      </c>
      <c r="F13" s="54" t="s">
        <v>181</v>
      </c>
      <c r="G13" s="54">
        <v>33</v>
      </c>
      <c r="H13" s="54">
        <v>46</v>
      </c>
      <c r="I13" s="55" t="s">
        <v>182</v>
      </c>
      <c r="J13" s="55" t="s">
        <v>182</v>
      </c>
      <c r="K13" s="54" t="s">
        <v>29</v>
      </c>
      <c r="L13" s="54" t="s">
        <v>97</v>
      </c>
      <c r="M13" s="55" t="s">
        <v>250</v>
      </c>
      <c r="N13" s="56" t="s">
        <v>238</v>
      </c>
      <c r="O13" s="57"/>
      <c r="P13" s="54" t="s">
        <v>260</v>
      </c>
      <c r="Q13" s="58"/>
      <c r="R13" s="59"/>
      <c r="S13" s="54">
        <f t="shared" si="0"/>
      </c>
      <c r="T13" s="54" t="str">
        <f t="shared" si="1"/>
        <v>wp</v>
      </c>
      <c r="U13" s="54">
        <f t="shared" si="2"/>
      </c>
      <c r="V13" s="54">
        <f t="shared" si="3"/>
      </c>
      <c r="W13" s="54" t="str">
        <f t="shared" si="4"/>
        <v>OFDM</v>
      </c>
      <c r="X13" s="54">
        <f t="shared" si="5"/>
      </c>
      <c r="Y13" s="57"/>
      <c r="Z13" s="60" t="str">
        <f t="shared" si="6"/>
        <v>Monnerie2</v>
      </c>
      <c r="AA13" s="59"/>
      <c r="AB13" s="54"/>
    </row>
    <row r="14" spans="1:28" s="61" customFormat="1" ht="25.5">
      <c r="A14" s="54">
        <v>96</v>
      </c>
      <c r="B14" s="55" t="s">
        <v>51</v>
      </c>
      <c r="C14" s="55" t="s">
        <v>34</v>
      </c>
      <c r="D14" s="54" t="s">
        <v>24</v>
      </c>
      <c r="E14" s="54">
        <v>8</v>
      </c>
      <c r="F14" s="54">
        <v>8.2</v>
      </c>
      <c r="G14" s="54">
        <v>39</v>
      </c>
      <c r="H14" s="54">
        <v>18</v>
      </c>
      <c r="I14" s="55" t="s">
        <v>183</v>
      </c>
      <c r="J14" s="55" t="s">
        <v>183</v>
      </c>
      <c r="K14" s="54" t="s">
        <v>29</v>
      </c>
      <c r="L14" s="54" t="s">
        <v>97</v>
      </c>
      <c r="M14" s="55" t="s">
        <v>251</v>
      </c>
      <c r="N14" s="56" t="s">
        <v>238</v>
      </c>
      <c r="O14" s="57"/>
      <c r="P14" s="54" t="s">
        <v>260</v>
      </c>
      <c r="Q14" s="58"/>
      <c r="R14" s="59"/>
      <c r="S14" s="54">
        <f t="shared" si="0"/>
      </c>
      <c r="T14" s="54" t="str">
        <f t="shared" si="1"/>
        <v>wp</v>
      </c>
      <c r="U14" s="54">
        <f t="shared" si="2"/>
      </c>
      <c r="V14" s="54">
        <f t="shared" si="3"/>
      </c>
      <c r="W14" s="54" t="str">
        <f t="shared" si="4"/>
        <v>OFDM</v>
      </c>
      <c r="X14" s="54">
        <f t="shared" si="5"/>
      </c>
      <c r="Y14" s="57"/>
      <c r="Z14" s="60" t="str">
        <f t="shared" si="6"/>
        <v>Monnerie2</v>
      </c>
      <c r="AA14" s="59"/>
      <c r="AB14" s="54"/>
    </row>
    <row r="15" spans="1:28" s="61" customFormat="1" ht="51">
      <c r="A15" s="54">
        <v>97</v>
      </c>
      <c r="B15" s="55" t="s">
        <v>51</v>
      </c>
      <c r="C15" s="55" t="s">
        <v>34</v>
      </c>
      <c r="D15" s="54" t="s">
        <v>24</v>
      </c>
      <c r="E15" s="54">
        <v>8</v>
      </c>
      <c r="F15" s="54" t="s">
        <v>184</v>
      </c>
      <c r="G15" s="54">
        <v>39</v>
      </c>
      <c r="H15" s="54">
        <v>34</v>
      </c>
      <c r="I15" s="55" t="s">
        <v>185</v>
      </c>
      <c r="J15" s="55" t="s">
        <v>185</v>
      </c>
      <c r="K15" s="54" t="s">
        <v>29</v>
      </c>
      <c r="L15" s="54" t="s">
        <v>97</v>
      </c>
      <c r="M15" s="55" t="s">
        <v>251</v>
      </c>
      <c r="N15" s="56" t="s">
        <v>238</v>
      </c>
      <c r="O15" s="57"/>
      <c r="P15" s="54" t="s">
        <v>260</v>
      </c>
      <c r="Q15" s="58"/>
      <c r="R15" s="59"/>
      <c r="S15" s="54">
        <f t="shared" si="0"/>
      </c>
      <c r="T15" s="54" t="str">
        <f t="shared" si="1"/>
        <v>wp</v>
      </c>
      <c r="U15" s="54">
        <f t="shared" si="2"/>
      </c>
      <c r="V15" s="54">
        <f t="shared" si="3"/>
      </c>
      <c r="W15" s="54" t="str">
        <f t="shared" si="4"/>
        <v>OFDM</v>
      </c>
      <c r="X15" s="54">
        <f t="shared" si="5"/>
      </c>
      <c r="Y15" s="57"/>
      <c r="Z15" s="60" t="str">
        <f t="shared" si="6"/>
        <v>Monnerie2</v>
      </c>
      <c r="AA15" s="59"/>
      <c r="AB15" s="54"/>
    </row>
    <row r="16" spans="1:28" s="75" customFormat="1" ht="51">
      <c r="A16" s="66">
        <v>98</v>
      </c>
      <c r="B16" s="67" t="s">
        <v>51</v>
      </c>
      <c r="C16" s="67" t="s">
        <v>34</v>
      </c>
      <c r="D16" s="66" t="s">
        <v>24</v>
      </c>
      <c r="E16" s="66">
        <v>9</v>
      </c>
      <c r="F16" s="66">
        <v>9.2</v>
      </c>
      <c r="G16" s="66">
        <v>41</v>
      </c>
      <c r="H16" s="66">
        <v>23</v>
      </c>
      <c r="I16" s="67" t="s">
        <v>186</v>
      </c>
      <c r="J16" s="67" t="s">
        <v>186</v>
      </c>
      <c r="K16" s="66" t="s">
        <v>29</v>
      </c>
      <c r="L16" s="66" t="s">
        <v>97</v>
      </c>
      <c r="M16" s="67" t="s">
        <v>243</v>
      </c>
      <c r="N16" s="69" t="s">
        <v>238</v>
      </c>
      <c r="O16" s="73"/>
      <c r="P16" s="66" t="s">
        <v>259</v>
      </c>
      <c r="Q16" s="71"/>
      <c r="R16" s="72"/>
      <c r="S16" s="66">
        <f t="shared" si="0"/>
      </c>
      <c r="T16" s="66" t="str">
        <f t="shared" si="1"/>
        <v>wp</v>
      </c>
      <c r="U16" s="66">
        <f t="shared" si="2"/>
      </c>
      <c r="V16" s="66">
        <f t="shared" si="3"/>
      </c>
      <c r="W16" s="66" t="str">
        <f t="shared" si="4"/>
        <v>OFDM</v>
      </c>
      <c r="X16" s="66">
        <f t="shared" si="5"/>
      </c>
      <c r="Y16" s="73"/>
      <c r="Z16" s="74" t="str">
        <f t="shared" si="6"/>
        <v>Monnerie1</v>
      </c>
      <c r="AA16" s="72"/>
      <c r="AB16" s="66"/>
    </row>
    <row r="17" spans="1:28" s="75" customFormat="1" ht="25.5">
      <c r="A17" s="66">
        <v>107</v>
      </c>
      <c r="B17" s="67" t="s">
        <v>51</v>
      </c>
      <c r="C17" s="67" t="s">
        <v>34</v>
      </c>
      <c r="D17" s="66" t="s">
        <v>24</v>
      </c>
      <c r="E17" s="66">
        <v>16</v>
      </c>
      <c r="F17" s="66" t="s">
        <v>187</v>
      </c>
      <c r="G17" s="66">
        <v>74</v>
      </c>
      <c r="H17" s="66">
        <v>28</v>
      </c>
      <c r="I17" s="67" t="s">
        <v>188</v>
      </c>
      <c r="J17" s="67" t="s">
        <v>188</v>
      </c>
      <c r="K17" s="66" t="s">
        <v>29</v>
      </c>
      <c r="L17" s="66" t="s">
        <v>97</v>
      </c>
      <c r="M17" s="67" t="s">
        <v>240</v>
      </c>
      <c r="N17" s="69" t="s">
        <v>238</v>
      </c>
      <c r="O17" s="73"/>
      <c r="P17" s="66" t="s">
        <v>259</v>
      </c>
      <c r="Q17" s="71"/>
      <c r="R17" s="72"/>
      <c r="S17" s="66">
        <f t="shared" si="0"/>
      </c>
      <c r="T17" s="66" t="str">
        <f t="shared" si="1"/>
        <v>wp</v>
      </c>
      <c r="U17" s="66">
        <f t="shared" si="2"/>
      </c>
      <c r="V17" s="66">
        <f t="shared" si="3"/>
      </c>
      <c r="W17" s="66" t="str">
        <f t="shared" si="4"/>
        <v>OFDM</v>
      </c>
      <c r="X17" s="66">
        <f t="shared" si="5"/>
      </c>
      <c r="Y17" s="73"/>
      <c r="Z17" s="74" t="str">
        <f t="shared" si="6"/>
        <v>Monnerie1</v>
      </c>
      <c r="AA17" s="72"/>
      <c r="AB17" s="66"/>
    </row>
    <row r="18" spans="1:28" s="75" customFormat="1" ht="76.5">
      <c r="A18" s="66">
        <v>113</v>
      </c>
      <c r="B18" s="67" t="s">
        <v>51</v>
      </c>
      <c r="C18" s="67" t="s">
        <v>34</v>
      </c>
      <c r="D18" s="66" t="s">
        <v>24</v>
      </c>
      <c r="E18" s="66" t="s">
        <v>189</v>
      </c>
      <c r="F18" s="66" t="s">
        <v>190</v>
      </c>
      <c r="G18" s="66">
        <v>130</v>
      </c>
      <c r="H18" s="66">
        <v>14</v>
      </c>
      <c r="I18" s="67" t="s">
        <v>191</v>
      </c>
      <c r="J18" s="67" t="s">
        <v>192</v>
      </c>
      <c r="K18" s="66" t="s">
        <v>29</v>
      </c>
      <c r="L18" s="66" t="s">
        <v>97</v>
      </c>
      <c r="M18" s="67" t="s">
        <v>244</v>
      </c>
      <c r="N18" s="69" t="s">
        <v>238</v>
      </c>
      <c r="O18" s="73"/>
      <c r="P18" s="66" t="s">
        <v>259</v>
      </c>
      <c r="Q18" s="71"/>
      <c r="R18" s="72"/>
      <c r="S18" s="66">
        <f t="shared" si="0"/>
      </c>
      <c r="T18" s="66" t="str">
        <f t="shared" si="1"/>
        <v>wp</v>
      </c>
      <c r="U18" s="66">
        <f t="shared" si="2"/>
      </c>
      <c r="V18" s="66">
        <f t="shared" si="3"/>
      </c>
      <c r="W18" s="66" t="str">
        <f t="shared" si="4"/>
        <v>OFDM</v>
      </c>
      <c r="X18" s="66">
        <f t="shared" si="5"/>
      </c>
      <c r="Y18" s="73"/>
      <c r="Z18" s="74" t="str">
        <f t="shared" si="6"/>
        <v>Monnerie1</v>
      </c>
      <c r="AA18" s="72"/>
      <c r="AB18" s="66"/>
    </row>
    <row r="19" spans="1:28" s="75" customFormat="1" ht="63.75">
      <c r="A19" s="66">
        <v>114</v>
      </c>
      <c r="B19" s="67" t="s">
        <v>51</v>
      </c>
      <c r="C19" s="67" t="s">
        <v>34</v>
      </c>
      <c r="D19" s="66" t="s">
        <v>24</v>
      </c>
      <c r="E19" s="66" t="s">
        <v>189</v>
      </c>
      <c r="F19" s="66" t="s">
        <v>193</v>
      </c>
      <c r="G19" s="66">
        <v>132</v>
      </c>
      <c r="H19" s="66">
        <v>39</v>
      </c>
      <c r="I19" s="67" t="s">
        <v>194</v>
      </c>
      <c r="J19" s="67" t="s">
        <v>195</v>
      </c>
      <c r="K19" s="66" t="s">
        <v>29</v>
      </c>
      <c r="L19" s="66" t="s">
        <v>97</v>
      </c>
      <c r="M19" s="67" t="s">
        <v>254</v>
      </c>
      <c r="N19" s="69" t="s">
        <v>238</v>
      </c>
      <c r="O19" s="73"/>
      <c r="P19" s="66" t="s">
        <v>259</v>
      </c>
      <c r="Q19" s="71"/>
      <c r="R19" s="72"/>
      <c r="S19" s="66">
        <f t="shared" si="0"/>
      </c>
      <c r="T19" s="66" t="str">
        <f t="shared" si="1"/>
        <v>wp</v>
      </c>
      <c r="U19" s="66">
        <f t="shared" si="2"/>
      </c>
      <c r="V19" s="66">
        <f t="shared" si="3"/>
      </c>
      <c r="W19" s="66" t="str">
        <f t="shared" si="4"/>
        <v>OFDM</v>
      </c>
      <c r="X19" s="66">
        <f t="shared" si="5"/>
      </c>
      <c r="Y19" s="73"/>
      <c r="Z19" s="74" t="str">
        <f t="shared" si="6"/>
        <v>Monnerie1</v>
      </c>
      <c r="AA19" s="72"/>
      <c r="AB19" s="66"/>
    </row>
    <row r="20" spans="1:28" s="78" customFormat="1" ht="63.75">
      <c r="A20" s="66">
        <v>512</v>
      </c>
      <c r="B20" s="67" t="s">
        <v>41</v>
      </c>
      <c r="C20" s="67" t="s">
        <v>32</v>
      </c>
      <c r="D20" s="66" t="s">
        <v>24</v>
      </c>
      <c r="E20" s="77">
        <v>8</v>
      </c>
      <c r="F20" s="66" t="s">
        <v>199</v>
      </c>
      <c r="G20" s="77">
        <v>33</v>
      </c>
      <c r="H20" s="69" t="s">
        <v>33</v>
      </c>
      <c r="I20" s="67" t="s">
        <v>204</v>
      </c>
      <c r="J20" s="67" t="s">
        <v>205</v>
      </c>
      <c r="K20" s="66"/>
      <c r="L20" s="66" t="s">
        <v>97</v>
      </c>
      <c r="M20" s="67" t="s">
        <v>245</v>
      </c>
      <c r="N20" s="69" t="s">
        <v>238</v>
      </c>
      <c r="O20" s="73"/>
      <c r="P20" s="66" t="s">
        <v>259</v>
      </c>
      <c r="Q20" s="71"/>
      <c r="R20" s="72"/>
      <c r="S20" s="66">
        <f t="shared" si="0"/>
      </c>
      <c r="T20" s="66" t="str">
        <f t="shared" si="1"/>
        <v>wp</v>
      </c>
      <c r="U20" s="66">
        <f t="shared" si="2"/>
      </c>
      <c r="V20" s="66">
        <f t="shared" si="3"/>
      </c>
      <c r="W20" s="66" t="str">
        <f t="shared" si="4"/>
        <v>OFDM</v>
      </c>
      <c r="X20" s="66">
        <f t="shared" si="5"/>
      </c>
      <c r="Y20" s="73"/>
      <c r="Z20" s="74" t="str">
        <f t="shared" si="6"/>
        <v>Monnerie1</v>
      </c>
      <c r="AA20" s="72"/>
      <c r="AB20" s="66"/>
    </row>
    <row r="21" spans="1:28" s="75" customFormat="1" ht="204">
      <c r="A21" s="66">
        <v>547</v>
      </c>
      <c r="B21" s="67" t="s">
        <v>55</v>
      </c>
      <c r="C21" s="67" t="s">
        <v>207</v>
      </c>
      <c r="D21" s="66" t="s">
        <v>208</v>
      </c>
      <c r="E21" s="66">
        <v>9</v>
      </c>
      <c r="F21" s="66">
        <v>9.4</v>
      </c>
      <c r="G21" s="66">
        <v>45</v>
      </c>
      <c r="H21" s="66">
        <v>46</v>
      </c>
      <c r="I21" s="67" t="s">
        <v>210</v>
      </c>
      <c r="J21" s="67" t="s">
        <v>211</v>
      </c>
      <c r="K21" s="66" t="s">
        <v>209</v>
      </c>
      <c r="L21" s="66" t="s">
        <v>97</v>
      </c>
      <c r="M21" s="67" t="s">
        <v>246</v>
      </c>
      <c r="N21" s="69" t="s">
        <v>238</v>
      </c>
      <c r="O21" s="73"/>
      <c r="P21" s="66" t="s">
        <v>259</v>
      </c>
      <c r="Q21" s="71"/>
      <c r="R21" s="72"/>
      <c r="S21" s="66">
        <f t="shared" si="0"/>
      </c>
      <c r="T21" s="66" t="str">
        <f t="shared" si="1"/>
        <v>wp</v>
      </c>
      <c r="U21" s="66">
        <f t="shared" si="2"/>
      </c>
      <c r="V21" s="66">
        <f t="shared" si="3"/>
      </c>
      <c r="W21" s="66" t="str">
        <f t="shared" si="4"/>
        <v>OFDM</v>
      </c>
      <c r="X21" s="66">
        <f t="shared" si="5"/>
      </c>
      <c r="Y21" s="73"/>
      <c r="Z21" s="74" t="str">
        <f t="shared" si="6"/>
        <v>Monnerie1</v>
      </c>
      <c r="AA21" s="72"/>
      <c r="AB21" s="66"/>
    </row>
    <row r="22" spans="1:28" s="75" customFormat="1" ht="140.25">
      <c r="A22" s="66">
        <v>548</v>
      </c>
      <c r="B22" s="67" t="s">
        <v>206</v>
      </c>
      <c r="C22" s="67" t="s">
        <v>207</v>
      </c>
      <c r="D22" s="66" t="s">
        <v>208</v>
      </c>
      <c r="E22" s="66">
        <v>16</v>
      </c>
      <c r="F22" s="66" t="s">
        <v>212</v>
      </c>
      <c r="G22" s="66">
        <v>83</v>
      </c>
      <c r="H22" s="66">
        <v>33</v>
      </c>
      <c r="I22" s="67" t="s">
        <v>213</v>
      </c>
      <c r="J22" s="67" t="s">
        <v>214</v>
      </c>
      <c r="K22" s="66" t="s">
        <v>209</v>
      </c>
      <c r="L22" s="66" t="s">
        <v>97</v>
      </c>
      <c r="M22" s="67" t="s">
        <v>247</v>
      </c>
      <c r="N22" s="69" t="s">
        <v>238</v>
      </c>
      <c r="O22" s="73"/>
      <c r="P22" s="66" t="s">
        <v>259</v>
      </c>
      <c r="Q22" s="71"/>
      <c r="R22" s="72"/>
      <c r="S22" s="66">
        <f t="shared" si="0"/>
      </c>
      <c r="T22" s="66" t="str">
        <f t="shared" si="1"/>
        <v>wp</v>
      </c>
      <c r="U22" s="66">
        <f t="shared" si="2"/>
      </c>
      <c r="V22" s="66">
        <f t="shared" si="3"/>
      </c>
      <c r="W22" s="66" t="str">
        <f t="shared" si="4"/>
        <v>OFDM</v>
      </c>
      <c r="X22" s="66">
        <f t="shared" si="5"/>
      </c>
      <c r="Y22" s="73"/>
      <c r="Z22" s="74" t="str">
        <f t="shared" si="6"/>
        <v>Monnerie1</v>
      </c>
      <c r="AA22" s="72"/>
      <c r="AB22" s="66"/>
    </row>
    <row r="23" spans="1:28" s="72" customFormat="1" ht="25.5">
      <c r="A23" s="66">
        <v>549</v>
      </c>
      <c r="B23" s="67" t="s">
        <v>206</v>
      </c>
      <c r="C23" s="67" t="s">
        <v>207</v>
      </c>
      <c r="D23" s="66" t="s">
        <v>208</v>
      </c>
      <c r="E23" s="66" t="s">
        <v>215</v>
      </c>
      <c r="F23" s="66" t="s">
        <v>216</v>
      </c>
      <c r="G23" s="66">
        <v>129</v>
      </c>
      <c r="H23" s="66">
        <v>44</v>
      </c>
      <c r="I23" s="67" t="s">
        <v>217</v>
      </c>
      <c r="J23" s="67" t="s">
        <v>218</v>
      </c>
      <c r="K23" s="66" t="s">
        <v>209</v>
      </c>
      <c r="L23" s="66" t="s">
        <v>97</v>
      </c>
      <c r="M23" s="67" t="s">
        <v>248</v>
      </c>
      <c r="N23" s="69" t="s">
        <v>238</v>
      </c>
      <c r="O23" s="73"/>
      <c r="P23" s="66" t="s">
        <v>259</v>
      </c>
      <c r="Q23" s="71"/>
      <c r="S23" s="66">
        <f t="shared" si="0"/>
      </c>
      <c r="T23" s="66" t="str">
        <f t="shared" si="1"/>
        <v>wp</v>
      </c>
      <c r="U23" s="66">
        <f t="shared" si="2"/>
      </c>
      <c r="V23" s="66">
        <f t="shared" si="3"/>
      </c>
      <c r="W23" s="66" t="str">
        <f t="shared" si="4"/>
        <v>OFDM</v>
      </c>
      <c r="X23" s="66">
        <f t="shared" si="5"/>
      </c>
      <c r="Y23" s="73"/>
      <c r="Z23" s="74" t="str">
        <f t="shared" si="6"/>
        <v>Monnerie1</v>
      </c>
      <c r="AB23" s="66"/>
    </row>
    <row r="24" spans="1:28" s="72" customFormat="1" ht="25.5">
      <c r="A24" s="66">
        <v>550</v>
      </c>
      <c r="B24" s="67" t="s">
        <v>206</v>
      </c>
      <c r="C24" s="67" t="s">
        <v>207</v>
      </c>
      <c r="D24" s="66" t="s">
        <v>208</v>
      </c>
      <c r="E24" s="66" t="s">
        <v>215</v>
      </c>
      <c r="F24" s="66" t="s">
        <v>216</v>
      </c>
      <c r="G24" s="66" t="s">
        <v>219</v>
      </c>
      <c r="H24" s="66" t="s">
        <v>216</v>
      </c>
      <c r="I24" s="67" t="s">
        <v>220</v>
      </c>
      <c r="J24" s="67" t="s">
        <v>221</v>
      </c>
      <c r="K24" s="66" t="s">
        <v>209</v>
      </c>
      <c r="L24" s="66" t="s">
        <v>97</v>
      </c>
      <c r="M24" s="67" t="s">
        <v>249</v>
      </c>
      <c r="N24" s="69" t="s">
        <v>238</v>
      </c>
      <c r="O24" s="73"/>
      <c r="P24" s="66" t="s">
        <v>259</v>
      </c>
      <c r="Q24" s="71"/>
      <c r="S24" s="66">
        <f t="shared" si="0"/>
      </c>
      <c r="T24" s="66" t="str">
        <f t="shared" si="1"/>
        <v>wp</v>
      </c>
      <c r="U24" s="66">
        <f t="shared" si="2"/>
      </c>
      <c r="V24" s="66">
        <f t="shared" si="3"/>
      </c>
      <c r="W24" s="66" t="str">
        <f t="shared" si="4"/>
        <v>OFDM</v>
      </c>
      <c r="X24" s="66">
        <f t="shared" si="5"/>
      </c>
      <c r="Y24" s="73"/>
      <c r="Z24" s="74" t="str">
        <f t="shared" si="6"/>
        <v>Monnerie1</v>
      </c>
      <c r="AB24" s="66"/>
    </row>
    <row r="25" spans="1:28" s="72" customFormat="1" ht="25.5">
      <c r="A25" s="66">
        <v>551</v>
      </c>
      <c r="B25" s="67" t="s">
        <v>206</v>
      </c>
      <c r="C25" s="67" t="s">
        <v>207</v>
      </c>
      <c r="D25" s="66" t="s">
        <v>208</v>
      </c>
      <c r="E25" s="66" t="s">
        <v>215</v>
      </c>
      <c r="F25" s="66" t="s">
        <v>216</v>
      </c>
      <c r="G25" s="66">
        <v>137</v>
      </c>
      <c r="H25" s="66" t="s">
        <v>222</v>
      </c>
      <c r="I25" s="67" t="s">
        <v>223</v>
      </c>
      <c r="J25" s="67" t="s">
        <v>224</v>
      </c>
      <c r="K25" s="66" t="s">
        <v>209</v>
      </c>
      <c r="L25" s="66" t="s">
        <v>97</v>
      </c>
      <c r="M25" s="67" t="s">
        <v>249</v>
      </c>
      <c r="N25" s="69" t="s">
        <v>238</v>
      </c>
      <c r="O25" s="73"/>
      <c r="P25" s="66" t="s">
        <v>259</v>
      </c>
      <c r="Q25" s="71"/>
      <c r="S25" s="66">
        <f t="shared" si="0"/>
      </c>
      <c r="T25" s="66" t="str">
        <f t="shared" si="1"/>
        <v>wp</v>
      </c>
      <c r="U25" s="66">
        <f t="shared" si="2"/>
      </c>
      <c r="V25" s="66">
        <f t="shared" si="3"/>
      </c>
      <c r="W25" s="66" t="str">
        <f t="shared" si="4"/>
        <v>OFDM</v>
      </c>
      <c r="X25" s="66">
        <f t="shared" si="5"/>
      </c>
      <c r="Y25" s="73"/>
      <c r="Z25" s="74" t="str">
        <f t="shared" si="6"/>
        <v>Monnerie1</v>
      </c>
      <c r="AB25" s="66"/>
    </row>
    <row r="26" spans="1:28" s="59" customFormat="1" ht="25.5">
      <c r="A26" s="54">
        <v>552</v>
      </c>
      <c r="B26" s="55" t="s">
        <v>206</v>
      </c>
      <c r="C26" s="55" t="s">
        <v>207</v>
      </c>
      <c r="D26" s="54" t="s">
        <v>208</v>
      </c>
      <c r="E26" s="54" t="s">
        <v>215</v>
      </c>
      <c r="F26" s="54" t="s">
        <v>216</v>
      </c>
      <c r="G26" s="54" t="s">
        <v>225</v>
      </c>
      <c r="H26" s="54" t="s">
        <v>216</v>
      </c>
      <c r="I26" s="55" t="s">
        <v>210</v>
      </c>
      <c r="J26" s="55" t="s">
        <v>226</v>
      </c>
      <c r="K26" s="54" t="s">
        <v>209</v>
      </c>
      <c r="L26" s="54" t="s">
        <v>97</v>
      </c>
      <c r="M26" s="55" t="s">
        <v>253</v>
      </c>
      <c r="N26" s="56" t="s">
        <v>238</v>
      </c>
      <c r="O26" s="57"/>
      <c r="P26" s="54" t="s">
        <v>260</v>
      </c>
      <c r="Q26" s="58"/>
      <c r="S26" s="54">
        <f t="shared" si="0"/>
      </c>
      <c r="T26" s="54" t="str">
        <f t="shared" si="1"/>
        <v>wp</v>
      </c>
      <c r="U26" s="54">
        <f t="shared" si="2"/>
      </c>
      <c r="V26" s="54">
        <f t="shared" si="3"/>
      </c>
      <c r="W26" s="54" t="str">
        <f t="shared" si="4"/>
        <v>OFDM</v>
      </c>
      <c r="X26" s="54">
        <f t="shared" si="5"/>
      </c>
      <c r="Y26" s="57"/>
      <c r="Z26" s="60" t="str">
        <f t="shared" si="6"/>
        <v>Monnerie2</v>
      </c>
      <c r="AB26" s="54"/>
    </row>
  </sheetData>
  <sheetProtection selectLockedCells="1" selectUnlockedCells="1"/>
  <autoFilter ref="A1:AB2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4" customWidth="1"/>
    <col min="12" max="12" width="24.57421875" style="0" bestFit="1" customWidth="1"/>
    <col min="13" max="13" width="12.140625" style="0" bestFit="1" customWidth="1"/>
  </cols>
  <sheetData>
    <row r="2" spans="1:13" ht="13.5" customHeight="1">
      <c r="A2" s="22" t="s">
        <v>75</v>
      </c>
      <c r="B2" s="40">
        <f>SUM(B3:B11)</f>
        <v>25</v>
      </c>
      <c r="D2" s="22" t="s">
        <v>89</v>
      </c>
      <c r="E2" s="40">
        <f>SUM(E3:E11)</f>
        <v>25</v>
      </c>
      <c r="F2" s="28" t="str">
        <f>IF(E2=COUNTA(Comments!#REF!:Comments!#REF!),"Computed Tally is Correct","Computed Tally is Incorrect")</f>
        <v>Computed Tally is Incorrect</v>
      </c>
      <c r="L2" s="22" t="s">
        <v>73</v>
      </c>
      <c r="M2" s="13" t="s">
        <v>74</v>
      </c>
    </row>
    <row r="3" spans="1:13" ht="13.5" customHeight="1">
      <c r="A3" s="23" t="s">
        <v>76</v>
      </c>
      <c r="B3" s="24">
        <f>COUNTIF(Comments!T$2:T$26,"rdy2vote")+COUNTIF(Comments!T$2:T$26,"rdy2vote2")</f>
        <v>0</v>
      </c>
      <c r="D3" s="23" t="s">
        <v>76</v>
      </c>
      <c r="E3" s="24">
        <f aca="true" t="shared" si="0" ref="E3:E11">B3+B16</f>
        <v>0</v>
      </c>
      <c r="L3" t="s">
        <v>30</v>
      </c>
      <c r="M3" s="18">
        <f>IF((COUNTIF(Comments!B$2:B$26,L3))=0,"",COUNTIF(Comments!B$2:B$26,L3))</f>
      </c>
    </row>
    <row r="4" spans="1:13" ht="13.5" customHeight="1">
      <c r="A4" s="23" t="s">
        <v>77</v>
      </c>
      <c r="B4" s="24">
        <f>COUNTIF(Comments!T$2:T$26,"wp")</f>
        <v>25</v>
      </c>
      <c r="D4" s="23" t="s">
        <v>77</v>
      </c>
      <c r="E4" s="24">
        <f t="shared" si="0"/>
        <v>25</v>
      </c>
      <c r="L4" t="s">
        <v>31</v>
      </c>
      <c r="M4" s="18">
        <f>IF((COUNTIF(Comments!B$2:B$26,L4))=0,"",COUNTIF(Comments!B$2:B$26,L4))</f>
      </c>
    </row>
    <row r="5" spans="1:13" ht="13.5" customHeight="1">
      <c r="A5" s="23" t="s">
        <v>78</v>
      </c>
      <c r="B5" s="24">
        <f>COUNTIF(Comments!T$2:T$26,"0")</f>
        <v>0</v>
      </c>
      <c r="D5" s="23" t="s">
        <v>78</v>
      </c>
      <c r="E5" s="24">
        <f t="shared" si="0"/>
        <v>0</v>
      </c>
      <c r="L5" t="s">
        <v>55</v>
      </c>
      <c r="M5" s="18">
        <f>IF((COUNTIF(Comments!B$2:B$26,L5))=0,"",COUNTIF(Comments!B$2:B$26,L5))</f>
        <v>6</v>
      </c>
    </row>
    <row r="6" spans="1:13" ht="13.5" customHeight="1">
      <c r="A6" s="13" t="s">
        <v>79</v>
      </c>
      <c r="B6" s="18">
        <f>COUNTIF(Comments!T$2:T$26,"A")</f>
        <v>0</v>
      </c>
      <c r="D6" s="13" t="s">
        <v>79</v>
      </c>
      <c r="E6" s="18">
        <f t="shared" si="0"/>
        <v>0</v>
      </c>
      <c r="L6" t="s">
        <v>54</v>
      </c>
      <c r="M6" s="18">
        <f>IF((COUNTIF(Comments!B$2:B$26,L6))=0,"",COUNTIF(Comments!B$2:B$26,L6))</f>
      </c>
    </row>
    <row r="7" spans="1:13" ht="13.5" customHeight="1">
      <c r="A7" s="13" t="s">
        <v>80</v>
      </c>
      <c r="B7" s="18">
        <f>COUNTIF(Comments!T$2:T$26,"R")</f>
        <v>0</v>
      </c>
      <c r="D7" s="13" t="s">
        <v>80</v>
      </c>
      <c r="E7" s="18">
        <f t="shared" si="0"/>
        <v>0</v>
      </c>
      <c r="L7" t="s">
        <v>27</v>
      </c>
      <c r="M7" s="18">
        <f>IF((COUNTIF(Comments!B$2:B$26,L7))=0,"",COUNTIF(Comments!B$2:B$26,L7))</f>
      </c>
    </row>
    <row r="8" spans="1:13" ht="13.5" customHeight="1">
      <c r="A8" s="13" t="s">
        <v>81</v>
      </c>
      <c r="B8" s="18">
        <f>COUNTIF(Comments!T$2:T$26,"AP")</f>
        <v>0</v>
      </c>
      <c r="D8" s="13" t="s">
        <v>81</v>
      </c>
      <c r="E8" s="18">
        <f t="shared" si="0"/>
        <v>0</v>
      </c>
      <c r="L8" t="s">
        <v>35</v>
      </c>
      <c r="M8" s="18">
        <f>IF((COUNTIF(Comments!B$2:B$26,L8))=0,"",COUNTIF(Comments!B$2:B$26,L8))</f>
      </c>
    </row>
    <row r="9" spans="1:13" ht="13.5" customHeight="1">
      <c r="A9" s="13" t="s">
        <v>82</v>
      </c>
      <c r="B9" s="18">
        <f>COUNTIF(Comments!T$2:T$26,"Z")</f>
        <v>0</v>
      </c>
      <c r="D9" s="13" t="s">
        <v>82</v>
      </c>
      <c r="E9" s="18">
        <f t="shared" si="0"/>
        <v>0</v>
      </c>
      <c r="L9" t="s">
        <v>36</v>
      </c>
      <c r="M9" s="18">
        <f>IF((COUNTIF(Comments!B$2:B$26,L9))=0,"",COUNTIF(Comments!B$2:B$26,L9))</f>
      </c>
    </row>
    <row r="10" spans="1:13" ht="13.5" customHeight="1">
      <c r="A10" t="s">
        <v>83</v>
      </c>
      <c r="B10" s="18">
        <f>COUNTIF(Comments!T$2:T$26,"Out Of Scope")</f>
        <v>0</v>
      </c>
      <c r="D10" t="s">
        <v>83</v>
      </c>
      <c r="E10" s="18">
        <f t="shared" si="0"/>
        <v>0</v>
      </c>
      <c r="L10" t="s">
        <v>37</v>
      </c>
      <c r="M10" s="18">
        <f>IF((COUNTIF(Comments!B$2:B$26,L10))=0,"",COUNTIF(Comments!B$2:B$26,L10))</f>
      </c>
    </row>
    <row r="11" spans="1:13" ht="13.5" customHeight="1">
      <c r="A11" t="s">
        <v>84</v>
      </c>
      <c r="B11" s="18">
        <f>COUNTIF(Comments!T$2:T$26,"Unresolveable")</f>
        <v>0</v>
      </c>
      <c r="D11" t="s">
        <v>84</v>
      </c>
      <c r="E11" s="18">
        <f t="shared" si="0"/>
        <v>0</v>
      </c>
      <c r="L11" t="s">
        <v>38</v>
      </c>
      <c r="M11" s="18">
        <f>IF((COUNTIF(Comments!B$2:B$26,L11))=0,"",COUNTIF(Comments!B$2:B$26,L11))</f>
      </c>
    </row>
    <row r="12" spans="1:13" ht="13.5" customHeight="1">
      <c r="A12" t="s">
        <v>85</v>
      </c>
      <c r="B12" s="25">
        <f>SUM(B6:B11)</f>
        <v>0</v>
      </c>
      <c r="D12" t="s">
        <v>90</v>
      </c>
      <c r="E12" s="25">
        <f>SUM(E6:E11)</f>
        <v>0</v>
      </c>
      <c r="L12" t="s">
        <v>52</v>
      </c>
      <c r="M12" s="18">
        <f>IF((COUNTIF(Comments!B$2:B$26,L12))=0,"",COUNTIF(Comments!B$2:B$26,L12))</f>
      </c>
    </row>
    <row r="13" spans="1:13" ht="13.5" customHeight="1">
      <c r="A13" t="s">
        <v>86</v>
      </c>
      <c r="B13" s="26">
        <f>B12/B2</f>
        <v>0</v>
      </c>
      <c r="D13" t="s">
        <v>91</v>
      </c>
      <c r="E13" s="26">
        <f>E12/E2</f>
        <v>0</v>
      </c>
      <c r="L13" t="s">
        <v>39</v>
      </c>
      <c r="M13" s="18">
        <f>IF((COUNTIF(Comments!B$2:B$26,L13))=0,"",COUNTIF(Comments!B$2:B$26,L13))</f>
      </c>
    </row>
    <row r="14" spans="2:13" ht="13.5" customHeight="1">
      <c r="B14" s="18"/>
      <c r="L14" t="s">
        <v>40</v>
      </c>
      <c r="M14" s="18">
        <f>IF((COUNTIF(Comments!B$2:B$26,L14))=0,"",COUNTIF(Comments!B$2:B$26,L14))</f>
      </c>
    </row>
    <row r="15" spans="1:13" ht="13.5" customHeight="1">
      <c r="A15" s="22" t="s">
        <v>28</v>
      </c>
      <c r="B15" s="40">
        <f>SUM(B16:B24)</f>
        <v>0</v>
      </c>
      <c r="D15" s="22"/>
      <c r="E15" s="39"/>
      <c r="F15" s="38"/>
      <c r="G15" s="38"/>
      <c r="L15" t="s">
        <v>203</v>
      </c>
      <c r="M15" s="18">
        <f>IF((COUNTIF(Comments!B$2:B$26,L15))=0,"",COUNTIF(Comments!B$2:B$26,L15))</f>
      </c>
    </row>
    <row r="16" spans="1:13" ht="13.5" customHeight="1">
      <c r="A16" s="23" t="s">
        <v>76</v>
      </c>
      <c r="B16" s="24">
        <f>COUNTIF(Comments!S$2:S$26,"rdy2vote")+COUNTIF(Comments!S$2:S$26,"rdy2vote2")</f>
        <v>0</v>
      </c>
      <c r="D16" s="22" t="s">
        <v>127</v>
      </c>
      <c r="E16" s="39" t="s">
        <v>126</v>
      </c>
      <c r="F16" s="38" t="s">
        <v>123</v>
      </c>
      <c r="G16" s="39" t="s">
        <v>76</v>
      </c>
      <c r="H16" s="43" t="s">
        <v>138</v>
      </c>
      <c r="I16" s="29" t="s">
        <v>143</v>
      </c>
      <c r="J16" s="45"/>
      <c r="L16" t="s">
        <v>56</v>
      </c>
      <c r="M16" s="18">
        <f>IF((COUNTIF(Comments!B$2:B$26,L16))=0,"",COUNTIF(Comments!B$2:B$26,L16))</f>
        <v>1</v>
      </c>
    </row>
    <row r="17" spans="1:13" ht="13.5" customHeight="1">
      <c r="A17" s="23" t="s">
        <v>77</v>
      </c>
      <c r="B17" s="24">
        <f>COUNTIF(Comments!S$2:S$26,"wp")</f>
        <v>0</v>
      </c>
      <c r="D17" t="s">
        <v>92</v>
      </c>
      <c r="E17" s="27">
        <f>COUNTIF(Comments!L$2:L$26,$D17)</f>
        <v>0</v>
      </c>
      <c r="F17" s="27">
        <f>COUNTIF(Comments!U$2:U$26,$D17)</f>
        <v>0</v>
      </c>
      <c r="G17" s="27">
        <f>COUNTIF(Comments!X$2:X$26,$D17)</f>
        <v>0</v>
      </c>
      <c r="H17">
        <f>COUNTIF(Comments!W$2:W$26,$D17)</f>
        <v>0</v>
      </c>
      <c r="I17" s="27">
        <f>COUNTIF(Comments!V$2:V$26,$D17)</f>
        <v>0</v>
      </c>
      <c r="J17" s="44" t="str">
        <f>IF(SUM(F17:I17)=E17,"OK",SUM(F17:I17)-E17)</f>
        <v>OK</v>
      </c>
      <c r="L17" t="s">
        <v>196</v>
      </c>
      <c r="M17" s="18">
        <f>IF((COUNTIF(Comments!B$2:B$26,L17))=0,"",COUNTIF(Comments!B$2:B$26,L17))</f>
      </c>
    </row>
    <row r="18" spans="1:13" ht="13.5" customHeight="1">
      <c r="A18" s="23" t="s">
        <v>78</v>
      </c>
      <c r="B18" s="24">
        <f>COUNTIF(Comments!S$2:S$26,"0")</f>
        <v>0</v>
      </c>
      <c r="D18" t="s">
        <v>25</v>
      </c>
      <c r="E18" s="27">
        <f>COUNTIF(Comments!L$2:L$26,$D18)</f>
        <v>0</v>
      </c>
      <c r="F18" s="27">
        <f>COUNTIF(Comments!U$2:U$26,$D18)</f>
        <v>0</v>
      </c>
      <c r="G18" s="27">
        <f>COUNTIF(Comments!X$2:X$26,$D18)</f>
        <v>0</v>
      </c>
      <c r="H18">
        <f>COUNTIF(Comments!W$2:W$26,$D18)</f>
        <v>0</v>
      </c>
      <c r="I18" s="27">
        <f>COUNTIF(Comments!V$2:V$26,$D18)</f>
        <v>0</v>
      </c>
      <c r="J18" s="44" t="str">
        <f aca="true" t="shared" si="1" ref="J18:J31">IF(SUM(F18:I18)=E18,"OK",SUM(F18:I18)-E18)</f>
        <v>OK</v>
      </c>
      <c r="L18" t="s">
        <v>227</v>
      </c>
      <c r="M18" s="18">
        <f>IF((COUNTIF(Comments!B$2:B$26,L18))=0,"",COUNTIF(Comments!B$2:B$26,L18))</f>
      </c>
    </row>
    <row r="19" spans="1:13" ht="13.5" customHeight="1">
      <c r="A19" s="13" t="s">
        <v>79</v>
      </c>
      <c r="B19" s="18">
        <f>COUNTIF(Comments!S$2:S$26,"A")</f>
        <v>0</v>
      </c>
      <c r="D19" t="s">
        <v>198</v>
      </c>
      <c r="E19" s="27">
        <f>COUNTIF(Comments!L$2:L$26,$D19)</f>
        <v>0</v>
      </c>
      <c r="F19" s="27">
        <f>COUNTIF(Comments!U$2:U$26,$D19)</f>
        <v>0</v>
      </c>
      <c r="G19" s="27">
        <f>COUNTIF(Comments!X$2:X$26,$D19)</f>
        <v>0</v>
      </c>
      <c r="H19">
        <f>COUNTIF(Comments!W$2:W$26,$D19)</f>
        <v>0</v>
      </c>
      <c r="I19" s="27">
        <f>COUNTIF(Comments!V$2:V$26,$D19)</f>
        <v>0</v>
      </c>
      <c r="J19" s="44" t="str">
        <f t="shared" si="1"/>
        <v>OK</v>
      </c>
      <c r="L19" t="s">
        <v>41</v>
      </c>
      <c r="M19" s="18">
        <f>IF((COUNTIF(Comments!B$2:B$26,L19))=0,"",COUNTIF(Comments!B$2:B$26,L19))</f>
        <v>1</v>
      </c>
    </row>
    <row r="20" spans="1:13" ht="13.5" customHeight="1">
      <c r="A20" s="13" t="s">
        <v>80</v>
      </c>
      <c r="B20" s="18">
        <f>COUNTIF(Comments!S$2:S$26,"R")</f>
        <v>0</v>
      </c>
      <c r="D20" t="s">
        <v>93</v>
      </c>
      <c r="E20" s="27">
        <f>COUNTIF(Comments!L$2:L$26,$D20)</f>
        <v>0</v>
      </c>
      <c r="F20" s="27">
        <f>COUNTIF(Comments!U$2:U$26,$D20)</f>
        <v>0</v>
      </c>
      <c r="G20" s="27">
        <f>COUNTIF(Comments!X$2:X$26,$D20)</f>
        <v>0</v>
      </c>
      <c r="H20">
        <f>COUNTIF(Comments!W$2:W$26,$D20)</f>
        <v>0</v>
      </c>
      <c r="I20" s="47">
        <f>COUNTIF(Comments!V$2:V$26,$D20)</f>
        <v>0</v>
      </c>
      <c r="J20" s="44" t="str">
        <f t="shared" si="1"/>
        <v>OK</v>
      </c>
      <c r="L20" t="s">
        <v>200</v>
      </c>
      <c r="M20" s="18">
        <f>IF((COUNTIF(Comments!B$2:B$26,L20))=0,"",COUNTIF(Comments!B$2:B$26,L20))</f>
      </c>
    </row>
    <row r="21" spans="1:13" ht="13.5" customHeight="1">
      <c r="A21" s="13" t="s">
        <v>81</v>
      </c>
      <c r="B21" s="18">
        <f>COUNTIF(Comments!S$2:S$26,"AP")</f>
        <v>0</v>
      </c>
      <c r="D21" t="s">
        <v>197</v>
      </c>
      <c r="E21" s="27">
        <f>COUNTIF(Comments!L$2:L$26,$D21)</f>
        <v>0</v>
      </c>
      <c r="F21" s="27">
        <f>COUNTIF(Comments!U$2:U$26,$D21)</f>
        <v>0</v>
      </c>
      <c r="G21" s="27">
        <f>COUNTIF(Comments!X$2:X$26,$D21)</f>
        <v>0</v>
      </c>
      <c r="H21">
        <f>COUNTIF(Comments!W$2:W$26,$D21)</f>
        <v>0</v>
      </c>
      <c r="I21" s="27">
        <f>COUNTIF(Comments!V$2:V$26,$D21)</f>
        <v>0</v>
      </c>
      <c r="J21" s="44" t="str">
        <f t="shared" si="1"/>
        <v>OK</v>
      </c>
      <c r="L21" t="s">
        <v>42</v>
      </c>
      <c r="M21" s="18">
        <f>IF((COUNTIF(Comments!B$2:B$26,L21))=0,"",COUNTIF(Comments!B$2:B$26,L21))</f>
      </c>
    </row>
    <row r="22" spans="1:13" ht="13.5" customHeight="1">
      <c r="A22" s="13" t="s">
        <v>82</v>
      </c>
      <c r="B22" s="18">
        <f>COUNTIF(Comments!S$2:S$26,"Z")</f>
        <v>0</v>
      </c>
      <c r="D22" t="s">
        <v>94</v>
      </c>
      <c r="E22" s="27">
        <f>COUNTIF(Comments!L$2:L$26,$D22)</f>
        <v>0</v>
      </c>
      <c r="F22" s="27">
        <f>COUNTIF(Comments!U$2:U$26,$D22)</f>
        <v>0</v>
      </c>
      <c r="G22" s="27">
        <f>COUNTIF(Comments!X$2:X$26,$D22)</f>
        <v>0</v>
      </c>
      <c r="H22">
        <f>COUNTIF(Comments!W$2:W$26,$D22)</f>
        <v>0</v>
      </c>
      <c r="I22" s="27">
        <f>COUNTIF(Comments!V$2:V$26,$D22)</f>
        <v>0</v>
      </c>
      <c r="J22" s="44" t="str">
        <f t="shared" si="1"/>
        <v>OK</v>
      </c>
      <c r="L22" t="s">
        <v>228</v>
      </c>
      <c r="M22" s="18">
        <f>IF((COUNTIF(Comments!B$2:B$26,L22))=0,"",COUNTIF(Comments!B$2:B$26,L22))</f>
      </c>
    </row>
    <row r="23" spans="1:13" ht="13.5" customHeight="1">
      <c r="A23" t="s">
        <v>83</v>
      </c>
      <c r="B23" s="18">
        <f>COUNTIF(Comments!S$2:S$26,"Out Of Scope")</f>
        <v>0</v>
      </c>
      <c r="D23" t="s">
        <v>140</v>
      </c>
      <c r="E23" s="27">
        <f>COUNTIF(Comments!L$2:L$26,$D23)</f>
        <v>0</v>
      </c>
      <c r="F23" s="27">
        <f>COUNTIF(Comments!U$2:U$26,$D23)</f>
        <v>0</v>
      </c>
      <c r="G23" s="27">
        <f>COUNTIF(Comments!X$2:X$26,$D23)</f>
        <v>0</v>
      </c>
      <c r="H23">
        <f>COUNTIF(Comments!W$2:W$26,$D23)</f>
        <v>0</v>
      </c>
      <c r="I23" s="27">
        <f>COUNTIF(Comments!V$2:V$26,$D23)</f>
        <v>0</v>
      </c>
      <c r="J23" s="44" t="str">
        <f t="shared" si="1"/>
        <v>OK</v>
      </c>
      <c r="L23" t="s">
        <v>43</v>
      </c>
      <c r="M23" s="18">
        <f>IF((COUNTIF(Comments!B$2:B$26,L23))=0,"",COUNTIF(Comments!B$2:B$26,L23))</f>
      </c>
    </row>
    <row r="24" spans="1:13" ht="13.5" customHeight="1">
      <c r="A24" t="s">
        <v>84</v>
      </c>
      <c r="B24" s="18">
        <f>COUNTIF(Comments!S$2:S$26,"Unresolveable")</f>
        <v>0</v>
      </c>
      <c r="D24" t="s">
        <v>102</v>
      </c>
      <c r="E24" s="27">
        <f>COUNTIF(Comments!L$2:L$26,$D24)</f>
        <v>0</v>
      </c>
      <c r="F24" s="27">
        <f>COUNTIF(Comments!U$2:U$26,$D24)</f>
        <v>0</v>
      </c>
      <c r="G24" s="27">
        <f>COUNTIF(Comments!X$2:X$26,$D24)</f>
        <v>0</v>
      </c>
      <c r="H24">
        <f>COUNTIF(Comments!W$2:W$26,$D24)</f>
        <v>0</v>
      </c>
      <c r="I24" s="27">
        <f>COUNTIF(Comments!V$2:V$26,$D24)</f>
        <v>0</v>
      </c>
      <c r="J24" s="44" t="str">
        <f t="shared" si="1"/>
        <v>OK</v>
      </c>
      <c r="L24" t="s">
        <v>53</v>
      </c>
      <c r="M24" s="18">
        <f>IF((COUNTIF(Comments!B$2:B$26,L24))=0,"",COUNTIF(Comments!B$2:B$26,L24))</f>
      </c>
    </row>
    <row r="25" spans="1:13" ht="13.5" customHeight="1">
      <c r="A25" t="s">
        <v>87</v>
      </c>
      <c r="B25" s="25">
        <f>SUM(B19:B24)</f>
        <v>0</v>
      </c>
      <c r="D25" t="s">
        <v>28</v>
      </c>
      <c r="E25" s="27">
        <f>COUNTIF(Comments!L$2:L$26,$D25)</f>
        <v>0</v>
      </c>
      <c r="F25" s="27">
        <f>COUNTIF(Comments!U$2:U$26,$D25)</f>
        <v>0</v>
      </c>
      <c r="G25" s="27">
        <f>COUNTIF(Comments!X$2:X$26,$D25)</f>
        <v>0</v>
      </c>
      <c r="H25">
        <f>COUNTIF(Comments!W$2:W$26,$D25)</f>
        <v>0</v>
      </c>
      <c r="I25" s="47">
        <f>COUNTIF(Comments!V$2:V$26,$D25)</f>
        <v>0</v>
      </c>
      <c r="J25" s="44" t="str">
        <f t="shared" si="1"/>
        <v>OK</v>
      </c>
      <c r="L25" t="s">
        <v>60</v>
      </c>
      <c r="M25" s="18">
        <f>IF((COUNTIF(Comments!B$2:B$26,L25))=0,"",COUNTIF(Comments!B$2:B$26,L25))</f>
      </c>
    </row>
    <row r="26" spans="1:13" ht="13.5" customHeight="1">
      <c r="A26" t="s">
        <v>88</v>
      </c>
      <c r="B26" s="26" t="e">
        <f>B25/B15</f>
        <v>#DIV/0!</v>
      </c>
      <c r="D26" t="s">
        <v>103</v>
      </c>
      <c r="E26" s="27">
        <f>COUNTIF(Comments!L$2:L$26,$D26)</f>
        <v>0</v>
      </c>
      <c r="F26" s="27">
        <f>COUNTIF(Comments!U$2:U$26,$D26)</f>
        <v>0</v>
      </c>
      <c r="G26" s="27">
        <f>COUNTIF(Comments!X$2:X$26,$D26)</f>
        <v>0</v>
      </c>
      <c r="H26">
        <f>COUNTIF(Comments!W$2:W$26,$D26)</f>
        <v>0</v>
      </c>
      <c r="I26" s="27">
        <f>COUNTIF(Comments!V$2:V$26,$D26)</f>
        <v>0</v>
      </c>
      <c r="J26" s="44" t="str">
        <f t="shared" si="1"/>
        <v>OK</v>
      </c>
      <c r="L26" t="s">
        <v>44</v>
      </c>
      <c r="M26" s="18">
        <f>IF((COUNTIF(Comments!B$2:B$26,L26))=0,"",COUNTIF(Comments!B$2:B$26,L26))</f>
      </c>
    </row>
    <row r="27" spans="2:13" ht="13.5" customHeight="1">
      <c r="B27" s="18"/>
      <c r="D27" t="s">
        <v>104</v>
      </c>
      <c r="E27" s="27">
        <f>COUNTIF(Comments!L$2:L$26,$D27)</f>
        <v>0</v>
      </c>
      <c r="F27" s="27">
        <f>COUNTIF(Comments!U$2:U$26,$D27)</f>
        <v>0</v>
      </c>
      <c r="G27" s="27">
        <f>COUNTIF(Comments!X$2:X$26,$D27)</f>
        <v>0</v>
      </c>
      <c r="H27">
        <f>COUNTIF(Comments!W$2:W$26,$D27)</f>
        <v>0</v>
      </c>
      <c r="I27" s="27">
        <f>COUNTIF(Comments!V$2:V$26,$D27)</f>
        <v>0</v>
      </c>
      <c r="J27" s="44" t="str">
        <f t="shared" si="1"/>
        <v>OK</v>
      </c>
      <c r="L27" t="s">
        <v>45</v>
      </c>
      <c r="M27" s="18">
        <f>IF((COUNTIF(Comments!B$2:B$26,L27))=0,"",COUNTIF(Comments!B$2:B$26,L27))</f>
      </c>
    </row>
    <row r="28" spans="2:13" ht="13.5" customHeight="1">
      <c r="B28" s="18"/>
      <c r="D28" t="s">
        <v>105</v>
      </c>
      <c r="E28" s="27">
        <f>COUNTIF(Comments!L$2:L$26,$D28)</f>
        <v>0</v>
      </c>
      <c r="F28" s="27">
        <f>COUNTIF(Comments!U$2:U$26,$D28)</f>
        <v>0</v>
      </c>
      <c r="G28" s="27">
        <f>COUNTIF(Comments!X$2:X$26,$D28)</f>
        <v>0</v>
      </c>
      <c r="H28">
        <f>COUNTIF(Comments!W$2:W$26,$D28)</f>
        <v>0</v>
      </c>
      <c r="I28" s="47">
        <f>COUNTIF(Comments!V$2:V$26,$D28)</f>
        <v>0</v>
      </c>
      <c r="J28" s="44" t="str">
        <f t="shared" si="1"/>
        <v>OK</v>
      </c>
      <c r="L28" t="s">
        <v>46</v>
      </c>
      <c r="M28" s="18">
        <f>IF((COUNTIF(Comments!B$2:B$26,L28))=0,"",COUNTIF(Comments!B$2:B$26,L28))</f>
      </c>
    </row>
    <row r="29" spans="2:13" ht="13.5" customHeight="1">
      <c r="B29" s="18"/>
      <c r="D29" t="s">
        <v>95</v>
      </c>
      <c r="E29" s="27">
        <f>COUNTIF(Comments!L$2:L$26,$D29)</f>
        <v>0</v>
      </c>
      <c r="F29" s="27">
        <f>COUNTIF(Comments!U$2:U$26,$D29)</f>
        <v>0</v>
      </c>
      <c r="G29" s="27">
        <f>COUNTIF(Comments!X$2:X$26,$D29)</f>
        <v>0</v>
      </c>
      <c r="H29">
        <f>COUNTIF(Comments!W$2:W$26,$D29)</f>
        <v>0</v>
      </c>
      <c r="I29" s="47">
        <f>COUNTIF(Comments!V$2:V$26,$D29)</f>
        <v>0</v>
      </c>
      <c r="J29" s="44" t="str">
        <f t="shared" si="1"/>
        <v>OK</v>
      </c>
      <c r="L29" t="s">
        <v>47</v>
      </c>
      <c r="M29" s="18">
        <f>IF((COUNTIF(Comments!B$2:B$26,L29))=0,"",COUNTIF(Comments!B$2:B$26,L29))</f>
      </c>
    </row>
    <row r="30" spans="2:13" ht="13.5" customHeight="1">
      <c r="B30" s="18"/>
      <c r="D30" t="s">
        <v>106</v>
      </c>
      <c r="E30" s="27">
        <f>COUNTIF(Comments!L$2:L$26,$D30)</f>
        <v>0</v>
      </c>
      <c r="F30" s="27">
        <f>COUNTIF(Comments!U$2:U$26,$D30)</f>
        <v>0</v>
      </c>
      <c r="G30" s="27">
        <f>COUNTIF(Comments!X$2:X$26,$D30)</f>
        <v>0</v>
      </c>
      <c r="H30">
        <f>COUNTIF(Comments!W$2:W$26,$D30)</f>
        <v>0</v>
      </c>
      <c r="I30" s="27">
        <f>COUNTIF(Comments!V$2:V$26,$D30)</f>
        <v>0</v>
      </c>
      <c r="J30" s="44" t="str">
        <f t="shared" si="1"/>
        <v>OK</v>
      </c>
      <c r="L30" t="s">
        <v>57</v>
      </c>
      <c r="M30" s="18">
        <f>IF((COUNTIF(Comments!B$2:B$26,L30))=0,"",COUNTIF(Comments!B$2:B$26,L30))</f>
        <v>6</v>
      </c>
    </row>
    <row r="31" spans="2:13" ht="13.5" customHeight="1">
      <c r="B31" s="18"/>
      <c r="D31" t="s">
        <v>231</v>
      </c>
      <c r="E31" s="27">
        <f>COUNTIF(Comments!L$2:L$26,$D31)</f>
        <v>0</v>
      </c>
      <c r="F31" s="27">
        <f>COUNTIF(Comments!U$2:U$26,$D31)</f>
        <v>0</v>
      </c>
      <c r="G31" s="27">
        <f>COUNTIF(Comments!X$2:X$26,$D31)</f>
        <v>0</v>
      </c>
      <c r="H31">
        <f>COUNTIF(Comments!W$2:W$26,$D31)</f>
        <v>0</v>
      </c>
      <c r="I31" s="27">
        <f>COUNTIF(Comments!V$2:V$26,$D31)</f>
        <v>0</v>
      </c>
      <c r="J31" s="44" t="str">
        <f t="shared" si="1"/>
        <v>OK</v>
      </c>
      <c r="L31" t="s">
        <v>48</v>
      </c>
      <c r="M31" s="18">
        <f>IF((COUNTIF(Comments!B$2:B$26,L31))=0,"",COUNTIF(Comments!B$2:B$26,L31))</f>
      </c>
    </row>
    <row r="32" spans="2:13" ht="13.5" customHeight="1">
      <c r="B32" s="18"/>
      <c r="D32" t="s">
        <v>107</v>
      </c>
      <c r="E32" s="27">
        <f>COUNTIF(Comments!L$2:L$26,$D32)</f>
        <v>0</v>
      </c>
      <c r="F32" s="27">
        <f>COUNTIF(Comments!U$2:U$26,$D32)</f>
        <v>0</v>
      </c>
      <c r="G32" s="27">
        <f>COUNTIF(Comments!X$2:X$26,$D32)</f>
        <v>0</v>
      </c>
      <c r="H32">
        <f>COUNTIF(Comments!W$2:W$26,$D32)</f>
        <v>0</v>
      </c>
      <c r="I32" s="27">
        <f>COUNTIF(Comments!V$2:V$26,$D32)</f>
        <v>0</v>
      </c>
      <c r="J32" s="44" t="str">
        <f aca="true" t="shared" si="2" ref="J32:J44">IF(SUM(F32:I32)=E32,"OK",SUM(F32:I32)-E32)</f>
        <v>OK</v>
      </c>
      <c r="L32" t="s">
        <v>201</v>
      </c>
      <c r="M32" s="18">
        <f>IF((COUNTIF(Comments!B$2:B$26,L32))=0,"",COUNTIF(Comments!B$2:B$26,L32))</f>
      </c>
    </row>
    <row r="33" spans="2:13" ht="13.5" customHeight="1">
      <c r="B33" s="18"/>
      <c r="D33" t="s">
        <v>96</v>
      </c>
      <c r="E33" s="27">
        <f>COUNTIF(Comments!L$2:L$26,$D33)</f>
        <v>0</v>
      </c>
      <c r="F33" s="27">
        <f>COUNTIF(Comments!U$2:U$26,$D33)</f>
        <v>0</v>
      </c>
      <c r="G33" s="27">
        <f>COUNTIF(Comments!X$2:X$26,$D33)</f>
        <v>0</v>
      </c>
      <c r="H33">
        <f>COUNTIF(Comments!W$2:W$26,$D33)</f>
        <v>0</v>
      </c>
      <c r="I33" s="27">
        <f>COUNTIF(Comments!V$2:V$26,$D33)</f>
        <v>0</v>
      </c>
      <c r="J33" s="44" t="str">
        <f t="shared" si="2"/>
        <v>OK</v>
      </c>
      <c r="L33" t="s">
        <v>49</v>
      </c>
      <c r="M33" s="18">
        <f>IF((COUNTIF(Comments!B$2:B$26,L33))=0,"",COUNTIF(Comments!B$2:B$26,L33))</f>
      </c>
    </row>
    <row r="34" spans="2:13" ht="13.5" customHeight="1">
      <c r="B34" s="18"/>
      <c r="D34" t="s">
        <v>108</v>
      </c>
      <c r="E34" s="27">
        <f>COUNTIF(Comments!L$2:L$26,$D34)</f>
        <v>0</v>
      </c>
      <c r="F34" s="27">
        <f>COUNTIF(Comments!U$2:U$26,$D34)</f>
        <v>0</v>
      </c>
      <c r="G34" s="27">
        <f>COUNTIF(Comments!X$2:X$26,$D34)</f>
        <v>0</v>
      </c>
      <c r="H34">
        <f>COUNTIF(Comments!W$2:W$26,$D34)</f>
        <v>0</v>
      </c>
      <c r="I34" s="27">
        <f>COUNTIF(Comments!V$2:V$26,$D34)</f>
        <v>0</v>
      </c>
      <c r="J34" s="44" t="str">
        <f t="shared" si="2"/>
        <v>OK</v>
      </c>
      <c r="L34" t="s">
        <v>58</v>
      </c>
      <c r="M34" s="18">
        <f>IF((COUNTIF(Comments!B$2:B$26,L34))=0,"",COUNTIF(Comments!B$2:B$26,L34))</f>
      </c>
    </row>
    <row r="35" spans="2:13" ht="13.5" customHeight="1">
      <c r="B35" s="18"/>
      <c r="D35" t="s">
        <v>109</v>
      </c>
      <c r="E35" s="27">
        <f>COUNTIF(Comments!L$2:L$26,$D35)</f>
        <v>0</v>
      </c>
      <c r="F35" s="27">
        <f>COUNTIF(Comments!U$2:U$26,$D35)</f>
        <v>0</v>
      </c>
      <c r="G35" s="27">
        <f>COUNTIF(Comments!X$2:X$26,$D35)</f>
        <v>0</v>
      </c>
      <c r="H35">
        <f>COUNTIF(Comments!W$2:W$26,$D35)</f>
        <v>0</v>
      </c>
      <c r="I35" s="47">
        <f>COUNTIF(Comments!V$2:V$26,$D35)</f>
        <v>0</v>
      </c>
      <c r="J35" s="44" t="str">
        <f t="shared" si="2"/>
        <v>OK</v>
      </c>
      <c r="L35" t="s">
        <v>51</v>
      </c>
      <c r="M35" s="18">
        <f>IF((COUNTIF(Comments!B$2:B$26,L35))=0,"",COUNTIF(Comments!B$2:B$26,L35))</f>
        <v>10</v>
      </c>
    </row>
    <row r="36" spans="2:13" ht="13.5" customHeight="1">
      <c r="B36" s="18"/>
      <c r="D36" t="s">
        <v>97</v>
      </c>
      <c r="E36" s="27">
        <f>COUNTIF(Comments!L$2:L$26,$D36)</f>
        <v>25</v>
      </c>
      <c r="F36" s="27">
        <f>COUNTIF(Comments!U$2:U$26,$D36)</f>
        <v>0</v>
      </c>
      <c r="G36" s="27">
        <f>COUNTIF(Comments!X$2:X$26,$D36)</f>
        <v>0</v>
      </c>
      <c r="H36">
        <f>COUNTIF(Comments!W$2:W$26,$D36)</f>
        <v>25</v>
      </c>
      <c r="I36" s="27">
        <f>COUNTIF(Comments!V$2:V$26,$D36)</f>
        <v>0</v>
      </c>
      <c r="J36" s="44" t="str">
        <f t="shared" si="2"/>
        <v>OK</v>
      </c>
      <c r="L36" t="s">
        <v>170</v>
      </c>
      <c r="M36" s="18">
        <f>IF((COUNTIF(Comments!B$2:B$26,L36))=0,"",COUNTIF(Comments!B$2:B$26,L36))</f>
      </c>
    </row>
    <row r="37" spans="2:13" ht="13.5" customHeight="1">
      <c r="B37" s="18"/>
      <c r="D37" t="s">
        <v>98</v>
      </c>
      <c r="E37" s="27">
        <f>COUNTIF(Comments!L$2:L$26,$D37)</f>
        <v>0</v>
      </c>
      <c r="F37" s="27">
        <f>COUNTIF(Comments!U$2:U$26,$D37)</f>
        <v>0</v>
      </c>
      <c r="G37" s="27">
        <f>COUNTIF(Comments!X$2:X$26,$D37)</f>
        <v>0</v>
      </c>
      <c r="H37">
        <f>COUNTIF(Comments!W$2:W$26,$D37)</f>
        <v>0</v>
      </c>
      <c r="I37" s="27">
        <f>COUNTIF(Comments!V$2:V$26,$D37)</f>
        <v>0</v>
      </c>
      <c r="J37" s="44" t="str">
        <f t="shared" si="2"/>
        <v>OK</v>
      </c>
      <c r="L37" t="s">
        <v>168</v>
      </c>
      <c r="M37" s="18">
        <f>IF((COUNTIF(Comments!B$2:B$26,L37))=0,"",COUNTIF(Comments!B$2:B$26,L37))</f>
      </c>
    </row>
    <row r="38" spans="2:13" ht="13.5" customHeight="1">
      <c r="B38" s="18"/>
      <c r="D38" t="s">
        <v>202</v>
      </c>
      <c r="E38" s="27">
        <f>COUNTIF(Comments!L$2:L$26,$D38)</f>
        <v>0</v>
      </c>
      <c r="F38" s="27">
        <f>COUNTIF(Comments!U$2:U$26,$D38)</f>
        <v>0</v>
      </c>
      <c r="G38" s="27">
        <f>COUNTIF(Comments!X$2:X$26,$D38)</f>
        <v>0</v>
      </c>
      <c r="H38">
        <f>COUNTIF(Comments!W$2:W$26,$D38)</f>
        <v>0</v>
      </c>
      <c r="I38" s="27">
        <f>COUNTIF(Comments!V$2:V$26,$D38)</f>
        <v>0</v>
      </c>
      <c r="J38" s="44" t="str">
        <f t="shared" si="2"/>
        <v>OK</v>
      </c>
      <c r="L38" t="s">
        <v>59</v>
      </c>
      <c r="M38" s="18">
        <f>IF((COUNTIF(Comments!B$2:B$26,L38))=0,"",COUNTIF(Comments!B$2:B$26,L38))</f>
        <v>1</v>
      </c>
    </row>
    <row r="39" spans="2:13" ht="13.5" customHeight="1">
      <c r="B39" s="18"/>
      <c r="D39" t="s">
        <v>110</v>
      </c>
      <c r="E39" s="27">
        <f>COUNTIF(Comments!L$2:L$26,$D39)</f>
        <v>0</v>
      </c>
      <c r="F39" s="27">
        <f>COUNTIF(Comments!U$2:U$26,$D39)</f>
        <v>0</v>
      </c>
      <c r="G39" s="27">
        <f>COUNTIF(Comments!X$2:X$26,$D39)</f>
        <v>0</v>
      </c>
      <c r="H39">
        <f>COUNTIF(Comments!W$2:W$26,$D39)</f>
        <v>0</v>
      </c>
      <c r="I39" s="27">
        <f>COUNTIF(Comments!V$2:V$26,$D39)</f>
        <v>0</v>
      </c>
      <c r="J39" s="44" t="str">
        <f t="shared" si="2"/>
        <v>OK</v>
      </c>
      <c r="L39">
        <f>COUNTA(L2:L38)</f>
        <v>37</v>
      </c>
      <c r="M39" s="21">
        <f>SUM(M2:M38)</f>
        <v>25</v>
      </c>
    </row>
    <row r="40" spans="1:13" ht="13.5" customHeight="1">
      <c r="A40" s="29" t="s">
        <v>142</v>
      </c>
      <c r="B40" s="18"/>
      <c r="D40" t="s">
        <v>134</v>
      </c>
      <c r="E40" s="27">
        <f>COUNTIF(Comments!L$2:L$26,$D40)</f>
        <v>0</v>
      </c>
      <c r="F40" s="27">
        <f>COUNTIF(Comments!U$2:U$26,$D40)</f>
        <v>0</v>
      </c>
      <c r="G40" s="27">
        <f>COUNTIF(Comments!X$2:X$26,$D40)</f>
        <v>0</v>
      </c>
      <c r="H40">
        <f>COUNTIF(Comments!W$2:W$26,$D40)</f>
        <v>0</v>
      </c>
      <c r="I40" s="47">
        <f>COUNTIF(Comments!V$2:V$26,$D40)</f>
        <v>0</v>
      </c>
      <c r="J40" s="44" t="str">
        <f t="shared" si="2"/>
        <v>OK</v>
      </c>
      <c r="M40" s="36" t="str">
        <f>IF(M39=COUNTA(Comments!A1:Comments!#REF!),"Computed Tally is Correct","Computed Tally is Incorrect")</f>
        <v>Computed Tally is Incorrect</v>
      </c>
    </row>
    <row r="41" spans="1:13" ht="13.5" customHeight="1">
      <c r="A41" s="12" t="s">
        <v>234</v>
      </c>
      <c r="B41" s="18">
        <f>IF((COUNTIF(Comments!Z$2:Z$26,A41))=0,"",COUNTIF(Comments!Z$2:Z$26,A41))</f>
      </c>
      <c r="D41" t="s">
        <v>111</v>
      </c>
      <c r="E41" s="27">
        <f>COUNTIF(Comments!L$2:L$26,$D41)</f>
        <v>0</v>
      </c>
      <c r="F41" s="27">
        <f>COUNTIF(Comments!U$2:U$26,$D41)</f>
        <v>0</v>
      </c>
      <c r="G41" s="27">
        <f>COUNTIF(Comments!X$2:X$26,$D41)</f>
        <v>0</v>
      </c>
      <c r="H41">
        <f>COUNTIF(Comments!W$2:W$26,$D41)</f>
        <v>0</v>
      </c>
      <c r="I41" s="27">
        <f>COUNTIF(Comments!V$2:V$26,$D41)</f>
        <v>0</v>
      </c>
      <c r="J41" s="44" t="str">
        <f t="shared" si="2"/>
        <v>OK</v>
      </c>
      <c r="M41" s="36"/>
    </row>
    <row r="42" spans="1:13" ht="13.5" customHeight="1">
      <c r="A42" s="12" t="s">
        <v>118</v>
      </c>
      <c r="B42" s="18">
        <f>IF((COUNTIF(Comments!Z$2:Z$26,A42))=0,"",COUNTIF(Comments!Z$2:Z$26,A42))</f>
      </c>
      <c r="D42" s="10" t="s">
        <v>146</v>
      </c>
      <c r="E42" s="27">
        <f>COUNTIF(Comments!L$2:L$26,$D42)</f>
        <v>0</v>
      </c>
      <c r="F42" s="27">
        <f>COUNTIF(Comments!U$2:U$26,$D42)</f>
        <v>0</v>
      </c>
      <c r="G42" s="27">
        <f>COUNTIF(Comments!X$2:X$26,$D42)</f>
        <v>0</v>
      </c>
      <c r="H42">
        <f>COUNTIF(Comments!W$2:W$26,$D42)</f>
        <v>0</v>
      </c>
      <c r="I42" s="27">
        <f>COUNTIF(Comments!V$2:V$26,$D42)</f>
        <v>0</v>
      </c>
      <c r="J42" s="44" t="str">
        <f t="shared" si="2"/>
        <v>OK</v>
      </c>
      <c r="M42" s="18"/>
    </row>
    <row r="43" spans="1:13" ht="13.5" customHeight="1">
      <c r="A43" s="12" t="s">
        <v>117</v>
      </c>
      <c r="B43" s="18">
        <f>IF((COUNTIF(Comments!Z$2:Z$26,A43))=0,"",COUNTIF(Comments!Z$2:Z$26,A43))</f>
      </c>
      <c r="D43" t="s">
        <v>139</v>
      </c>
      <c r="E43" s="27">
        <f>COUNTIF(Comments!L$2:L$26,$D43)</f>
        <v>0</v>
      </c>
      <c r="F43" s="27">
        <f>COUNTIF(Comments!U$2:U$26,$D43)</f>
        <v>0</v>
      </c>
      <c r="G43" s="27">
        <f>COUNTIF(Comments!X$2:X$26,$D43)</f>
        <v>0</v>
      </c>
      <c r="H43">
        <f>COUNTIF(Comments!W$2:W$26,$D43)</f>
        <v>0</v>
      </c>
      <c r="I43" s="27">
        <f>COUNTIF(Comments!V$2:V$26,$D43)</f>
        <v>0</v>
      </c>
      <c r="J43" s="44" t="str">
        <f t="shared" si="2"/>
        <v>OK</v>
      </c>
      <c r="M43" s="18"/>
    </row>
    <row r="44" spans="1:13" ht="13.5" customHeight="1">
      <c r="A44" s="12" t="s">
        <v>112</v>
      </c>
      <c r="B44" s="18">
        <f>IF((COUNTIF(Comments!Z$2:Z$26,A44))=0,"",COUNTIF(Comments!Z$2:Z$26,A44))</f>
      </c>
      <c r="D44" s="10" t="s">
        <v>229</v>
      </c>
      <c r="E44" s="27">
        <f>COUNTIF(Comments!L$2:L$26,$D44)</f>
        <v>0</v>
      </c>
      <c r="F44" s="27">
        <f>COUNTIF(Comments!U$2:U$26,$D44)</f>
        <v>0</v>
      </c>
      <c r="G44" s="27">
        <f>COUNTIF(Comments!X$2:X$26,$D44)</f>
        <v>0</v>
      </c>
      <c r="H44">
        <f>COUNTIF(Comments!W$2:W$26,$D44)</f>
        <v>0</v>
      </c>
      <c r="I44" s="47">
        <f>COUNTIF(Comments!V$2:V$26,$D44)</f>
        <v>0</v>
      </c>
      <c r="J44" s="44" t="str">
        <f t="shared" si="2"/>
        <v>OK</v>
      </c>
      <c r="M44" s="18"/>
    </row>
    <row r="45" spans="1:13" ht="13.5" customHeight="1">
      <c r="A45" s="12" t="s">
        <v>236</v>
      </c>
      <c r="B45" s="18">
        <f>IF((COUNTIF(Comments!Z$2:Z$26,A45))=0,"",COUNTIF(Comments!Z$2:Z$26,A45))</f>
      </c>
      <c r="D45" s="21" t="s">
        <v>128</v>
      </c>
      <c r="E45" s="48">
        <f>SUM(E$17:E44)</f>
        <v>25</v>
      </c>
      <c r="F45" s="48">
        <f>SUM(F$17:F44)</f>
        <v>0</v>
      </c>
      <c r="G45" s="48">
        <f>SUM(G$17:G44)</f>
        <v>0</v>
      </c>
      <c r="H45" s="48">
        <f>SUM(H$17:H44)</f>
        <v>25</v>
      </c>
      <c r="I45" s="48">
        <f>SUM(I$17:I44)</f>
        <v>0</v>
      </c>
      <c r="M45" s="18"/>
    </row>
    <row r="46" spans="1:13" ht="13.5" customHeight="1">
      <c r="A46" s="12" t="s">
        <v>114</v>
      </c>
      <c r="B46" s="18">
        <f>IF((COUNTIF(Comments!Z$2:Z$26,A46))=0,"",COUNTIF(Comments!Z$2:Z$26,A46))</f>
      </c>
      <c r="D46" s="36" t="s">
        <v>141</v>
      </c>
      <c r="E46" s="37" t="str">
        <f>IF(E45=B$2,"YES","NO")</f>
        <v>YES</v>
      </c>
      <c r="F46" s="37" t="str">
        <f>IF(F45=B$12,"YES","NO")</f>
        <v>YES</v>
      </c>
      <c r="G46" s="37" t="str">
        <f>IF(G45=B$3,"YES","NO")</f>
        <v>YES</v>
      </c>
      <c r="H46" s="37" t="str">
        <f>IF(H45=B$4,"YES","NO")</f>
        <v>YES</v>
      </c>
      <c r="I46" s="37" t="str">
        <f>IF(I45=B$5,"YES","NO")</f>
        <v>YES</v>
      </c>
      <c r="M46" s="18"/>
    </row>
    <row r="47" spans="1:13" ht="13.5" customHeight="1">
      <c r="A47" s="12" t="s">
        <v>116</v>
      </c>
      <c r="B47" s="18">
        <f>IF((COUNTIF(Comments!Z$2:Z$26,A47))=0,"",COUNTIF(Comments!Z$2:Z$26,A47))</f>
      </c>
      <c r="D47" s="36"/>
      <c r="E47" s="37"/>
      <c r="F47" s="37"/>
      <c r="G47" s="37"/>
      <c r="H47" s="37"/>
      <c r="I47" s="37"/>
      <c r="M47" s="18"/>
    </row>
    <row r="48" spans="1:13" ht="13.5" customHeight="1">
      <c r="A48" s="12" t="s">
        <v>233</v>
      </c>
      <c r="B48" s="18">
        <f>IF((COUNTIF(Comments!Z$2:Z$26,A48))=0,"",COUNTIF(Comments!Z$2:Z$26,A48))</f>
      </c>
      <c r="D48" s="14"/>
      <c r="E48" s="27"/>
      <c r="F48" s="27"/>
      <c r="G48" s="27"/>
      <c r="I48" s="47"/>
      <c r="M48" s="18"/>
    </row>
    <row r="49" spans="1:13" ht="13.5" customHeight="1">
      <c r="A49" s="12" t="s">
        <v>237</v>
      </c>
      <c r="B49" s="18">
        <f>IF((COUNTIF(Comments!Z$2:Z$26,A49))=0,"",COUNTIF(Comments!Z$2:Z$26,A49))</f>
      </c>
      <c r="M49" s="18"/>
    </row>
    <row r="50" spans="1:13" ht="13.5" customHeight="1">
      <c r="A50" s="12" t="s">
        <v>120</v>
      </c>
      <c r="B50" s="18">
        <f>IF((COUNTIF(Comments!Z$2:Z$26,A50))=0,"",COUNTIF(Comments!Z$2:Z$26,A50))</f>
      </c>
      <c r="M50" s="18"/>
    </row>
    <row r="51" spans="1:2" ht="13.5" customHeight="1">
      <c r="A51" s="12" t="s">
        <v>129</v>
      </c>
      <c r="B51" s="18">
        <f>IF((COUNTIF(Comments!Z$2:Z$26,A51))=0,"",COUNTIF(Comments!Z$2:Z$26,A51))</f>
      </c>
    </row>
    <row r="52" spans="1:2" ht="13.5" customHeight="1">
      <c r="A52" s="12" t="s">
        <v>122</v>
      </c>
      <c r="B52" s="18">
        <f>IF((COUNTIF(Comments!Z$2:Z$26,A52))=0,"",COUNTIF(Comments!Z$2:Z$26,A52))</f>
      </c>
    </row>
    <row r="53" spans="1:12" ht="13.5" customHeight="1">
      <c r="A53" s="12" t="s">
        <v>232</v>
      </c>
      <c r="B53" s="18">
        <f>IF((COUNTIF(Comments!Z$2:Z$26,A53))=0,"",COUNTIF(Comments!Z$2:Z$26,A53))</f>
      </c>
      <c r="L53" s="18"/>
    </row>
    <row r="54" spans="1:13" ht="13.5" customHeight="1">
      <c r="A54" s="12" t="s">
        <v>121</v>
      </c>
      <c r="B54" s="18">
        <f>IF((COUNTIF(Comments!Z$2:Z$26,A54))=0,"",COUNTIF(Comments!Z$2:Z$26,A54))</f>
      </c>
      <c r="L54" s="21"/>
      <c r="M54" s="28"/>
    </row>
    <row r="55" spans="1:4" ht="13.5" customHeight="1">
      <c r="A55" s="12" t="s">
        <v>119</v>
      </c>
      <c r="B55" s="18">
        <f>IF((COUNTIF(Comments!Z$2:Z$26,A55))=0,"",COUNTIF(Comments!Z$2:Z$26,A55))</f>
      </c>
      <c r="D55" s="10"/>
    </row>
    <row r="56" spans="1:4" ht="13.5" customHeight="1">
      <c r="A56" s="12" t="s">
        <v>131</v>
      </c>
      <c r="B56" s="18">
        <f>IF((COUNTIF(Comments!Z$2:Z$26,A56))=0,"",COUNTIF(Comments!Z$2:Z$26,A56))</f>
      </c>
      <c r="D56" s="10"/>
    </row>
    <row r="57" spans="1:4" ht="13.5" customHeight="1">
      <c r="A57" s="12" t="s">
        <v>135</v>
      </c>
      <c r="B57" s="18">
        <f>IF((COUNTIF(Comments!Z$2:Z$26,A57))=0,"",COUNTIF(Comments!Z$2:Z$26,A57))</f>
      </c>
      <c r="D57" s="10"/>
    </row>
    <row r="58" spans="1:4" ht="13.5" customHeight="1">
      <c r="A58" s="12" t="s">
        <v>130</v>
      </c>
      <c r="B58" s="18">
        <f>IF((COUNTIF(Comments!Z$2:Z$26,A58))=0,"",COUNTIF(Comments!Z$2:Z$26,A58))</f>
      </c>
      <c r="D58" s="12"/>
    </row>
    <row r="59" spans="1:4" ht="13.5" customHeight="1">
      <c r="A59" s="12" t="s">
        <v>113</v>
      </c>
      <c r="B59" s="18">
        <f>IF((COUNTIF(Comments!Z$2:Z$26,A59))=0,"",COUNTIF(Comments!Z$2:Z$26,A59))</f>
      </c>
      <c r="D59" s="10"/>
    </row>
    <row r="60" spans="1:4" ht="13.5" customHeight="1">
      <c r="A60" s="12" t="s">
        <v>235</v>
      </c>
      <c r="B60" s="18">
        <f>IF((COUNTIF(Comments!Z$2:Z$26,A60))=0,"",COUNTIF(Comments!Z$2:Z$26,A60))</f>
      </c>
      <c r="D60" s="10"/>
    </row>
    <row r="61" spans="1:4" ht="13.5" customHeight="1">
      <c r="A61" s="12" t="s">
        <v>115</v>
      </c>
      <c r="B61" s="18">
        <f>IF((COUNTIF(Comments!Z$2:Z$26,A61))=0,"",COUNTIF(Comments!Z$2:Z$26,A61))</f>
      </c>
      <c r="D61" s="10"/>
    </row>
    <row r="62" spans="1:4" ht="13.5" customHeight="1">
      <c r="A62" s="12" t="s">
        <v>101</v>
      </c>
      <c r="B62" s="18">
        <f>IF((COUNTIF(Comments!Z$2:Z$26,A62))=0,"",COUNTIF(Comments!Z$2:Z$26,A62))</f>
      </c>
      <c r="D62" s="10"/>
    </row>
    <row r="63" spans="1:2" ht="13.5" customHeight="1">
      <c r="A63" s="12" t="s">
        <v>101</v>
      </c>
      <c r="B63" s="18">
        <f>IF((COUNTIF(Comments!Z$2:Z$26,A63))=0,"",COUNTIF(Comments!Z$2:Z$26,A63))</f>
      </c>
    </row>
    <row r="64" spans="1:2" ht="13.5" customHeight="1">
      <c r="A64" s="12" t="s">
        <v>101</v>
      </c>
      <c r="B64" s="18">
        <f>IF((COUNTIF(Comments!Z$2:Z$26,A64))=0,"",COUNTIF(Comments!Z$2:Z$26,A64))</f>
      </c>
    </row>
    <row r="65" spans="1:2" ht="13.5" customHeight="1">
      <c r="A65" s="12" t="s">
        <v>101</v>
      </c>
      <c r="B65" s="18">
        <f>IF((COUNTIF(Comments!Z$2:Z$26,A65))=0,"",COUNTIF(Comments!Z$2:Z$26,A65))</f>
      </c>
    </row>
    <row r="66" spans="1:2" ht="13.5" customHeight="1">
      <c r="A66" s="12" t="s">
        <v>101</v>
      </c>
      <c r="B66" s="18">
        <f>IF((COUNTIF(Comments!Z$2:Z$26,A66))=0,"",COUNTIF(Comments!Z$2:Z$26,A66))</f>
      </c>
    </row>
    <row r="67" spans="1:2" ht="13.5" customHeight="1">
      <c r="A67" s="12" t="s">
        <v>101</v>
      </c>
      <c r="B67" s="18">
        <f>IF((COUNTIF(Comments!Z$2:Z$26,A67))=0,"",COUNTIF(Comments!Z$2:Z$26,A67))</f>
      </c>
    </row>
    <row r="68" spans="1:2" ht="13.5" customHeight="1">
      <c r="A68" s="12" t="s">
        <v>101</v>
      </c>
      <c r="B68" s="18">
        <f>IF((COUNTIF(Comments!Z$2:Z$26,A68))=0,"",COUNTIF(Comments!Z$2:Z$26,A68))</f>
      </c>
    </row>
    <row r="69" spans="1:2" ht="13.5" customHeight="1">
      <c r="A69" s="12" t="s">
        <v>101</v>
      </c>
      <c r="B69" s="18">
        <f>IF((COUNTIF(Comments!Z$2:Z$26,A69))=0,"",COUNTIF(Comments!Z$2:Z$26,A69))</f>
      </c>
    </row>
    <row r="70" spans="1:2" ht="13.5" customHeight="1">
      <c r="A70" s="12" t="s">
        <v>101</v>
      </c>
      <c r="B70" s="18">
        <f>IF((COUNTIF(Comments!Z$2:Z$26,A70))=0,"",COUNTIF(Comments!Z$2:Z$26,A70))</f>
      </c>
    </row>
    <row r="71" spans="1:2" ht="13.5" customHeight="1">
      <c r="A71" s="12" t="s">
        <v>101</v>
      </c>
      <c r="B71" s="18">
        <f>IF((COUNTIF(Comments!Z$2:Z$26,A71))=0,"",COUNTIF(Comments!Z$2:Z$26,A71))</f>
      </c>
    </row>
    <row r="72" spans="1:2" ht="13.5" customHeight="1">
      <c r="A72" s="17" t="s">
        <v>99</v>
      </c>
      <c r="B72" s="25">
        <f>SUM(B41:B71)</f>
        <v>0</v>
      </c>
    </row>
    <row r="73" spans="1:2" ht="13.5" customHeight="1">
      <c r="A73" t="s">
        <v>100</v>
      </c>
      <c r="B73" s="30">
        <f>IF(B72=0,0,(B72/(B3+B4)))</f>
        <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Emmanuel Monnerie</cp:lastModifiedBy>
  <dcterms:created xsi:type="dcterms:W3CDTF">2010-11-08T20:23:30Z</dcterms:created>
  <dcterms:modified xsi:type="dcterms:W3CDTF">2011-03-16T05:32:44Z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