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255" windowHeight="8130" tabRatio="480" activeTab="1"/>
  </bookViews>
  <sheets>
    <sheet name="IEEE_Cover" sheetId="1" r:id="rId1"/>
    <sheet name="Comments" sheetId="2" r:id="rId2"/>
    <sheet name="Summary" sheetId="3" r:id="rId3"/>
  </sheets>
  <definedNames>
    <definedName name="_xlnm._FilterDatabase" localSheetId="1" hidden="1">'Comments'!$A$1:$W$57</definedName>
  </definedNames>
  <calcPr fullCalcOnLoad="1"/>
</workbook>
</file>

<file path=xl/comments2.xml><?xml version="1.0" encoding="utf-8"?>
<comments xmlns="http://schemas.openxmlformats.org/spreadsheetml/2006/main">
  <authors>
    <author>Chang, Kuor-Hsin</author>
  </authors>
  <commentList>
    <comment ref="K27" authorId="0">
      <text>
        <r>
          <rPr>
            <b/>
            <sz val="8"/>
            <rFont val="Tahoma"/>
            <family val="2"/>
          </rPr>
          <t>Chang, Kuor-Hsin:</t>
        </r>
        <r>
          <rPr>
            <sz val="8"/>
            <rFont val="Tahoma"/>
            <family val="2"/>
          </rPr>
          <t xml:space="preserve">
Change the reason for rejection based on Ben's feedback.</t>
        </r>
      </text>
    </comment>
  </commentList>
</comments>
</file>

<file path=xl/sharedStrings.xml><?xml version="1.0" encoding="utf-8"?>
<sst xmlns="http://schemas.openxmlformats.org/spreadsheetml/2006/main" count="789" uniqueCount="355">
  <si>
    <t>"The combination of the BCH(15,11) code and one parity bit allows for the achievement of single error correction and double error detection over the 11 bits of information in the mode switch PPDU."  That's not true:  Only half of the double-errored words will be detected if the Parity Check is checked after decoding (the rest will pass undetected), and none of the double-errored words will be detected if the Parity Check is checked before decoding.  The BCH (15,11) code is a distance = 3, perfect code.  If two errors appear in the 11 information bits, the code will "false" to a valid -- but incorrect -- code word.  Half of these incorrect code words will have the same Parity Check bit as the transmitted word, and so will pass undetected.  If the double-errored word is examined before decoding, any two errors will leave the parity bit unchanged, and so will pass the Parity Check "error detection" process.  The possibility of undetected falsing in the proposed system is very high.</t>
  </si>
  <si>
    <t>Since it adds considerable complexity without any stated (or discernable) utility, and because it will not function as designed, delete the mode switch function from the draft.</t>
  </si>
  <si>
    <t>See document 15-10-0842-00-004g</t>
  </si>
  <si>
    <t>10 to 20</t>
  </si>
  <si>
    <t xml:space="preserve">Clarify that bits (MOD1, MOD0) are used to encode the mode switch. </t>
  </si>
  <si>
    <t>48 to 49</t>
  </si>
  <si>
    <t xml:space="preserve">The mode switch enforces the use of the mode switch frame each time a speed-up is operated between two devices, forcing the node to switch back to its previous mode of operation (each time a mode switch occured). This can be very inefficient for network wanting to only operate at high data rates.  </t>
  </si>
  <si>
    <t>Allow a device to stay in its current mode of operation after a mode switch occured.</t>
  </si>
  <si>
    <t>8 to 18</t>
  </si>
  <si>
    <t>The values of settling delays in Table 75e are given as an example. Settling delays values should be made mandatory to avoid interoperability issues.</t>
  </si>
  <si>
    <t>Make settling delay values mandatory.</t>
  </si>
  <si>
    <t>28 to 54</t>
  </si>
  <si>
    <t>The number of defined MR-OQPSK channels is too small for the purpose of switching between different modulation schemes.</t>
  </si>
  <si>
    <t>Define a larger number of MR-OQPSK channels that will allow a more efficient mode switching scheme, when switching between MR-FSK PHY and MR-OQPSK PHY, as well as between MR-OQPSK and MR-OFDM.</t>
  </si>
  <si>
    <t>Ruben Salazar</t>
  </si>
  <si>
    <t>Shusaku Shimada</t>
  </si>
  <si>
    <t>Steve JILLINGS</t>
  </si>
  <si>
    <t>Steve Shearer</t>
  </si>
  <si>
    <t>Monique Brown</t>
  </si>
  <si>
    <t>See comment.</t>
  </si>
  <si>
    <t>Please modify the text to better explain what is happening here.</t>
  </si>
  <si>
    <t>Text says: "to transmit the mode switch PPDU and the following PPDU consecutively…" So does one PD-DATA.request trigger the transmission of two PPDUs in this case?</t>
  </si>
  <si>
    <t>Regarding Figure 23, this type of information doesn't belong in the primitive section.</t>
  </si>
  <si>
    <t>Move to a more appropriate place (where mode switching is described in detail).</t>
  </si>
  <si>
    <t>Text says "The mode of the next PPDU transmitted…" Is there a way to make this text clearer? It is a different packet.</t>
  </si>
  <si>
    <t>Try introducing the term "new mode packet" here. Currently, it appears a couple of paragraphs down from here.</t>
  </si>
  <si>
    <t>The text says that "once the reception of the following frame is completed, the mode of operation of the receiver goes back to its previous mode." Only one packet is sent in the new mode??</t>
  </si>
  <si>
    <t>Please add text explaining to the reader why and under what conditions this mechanism is used.</t>
  </si>
  <si>
    <t>We don't use the acronym NHL.</t>
  </si>
  <si>
    <t>Spell out next higher layer.</t>
  </si>
  <si>
    <t>Under what conditions would you have a mode switch operation from FSK to FSK? What parameter(s) is being changed?</t>
  </si>
  <si>
    <t>Nicholas West</t>
  </si>
  <si>
    <t>Okundu Omeni</t>
  </si>
  <si>
    <t>Pat Kinney</t>
  </si>
  <si>
    <t>Roberto Aiello</t>
  </si>
  <si>
    <t>Itron</t>
  </si>
  <si>
    <t>John Geiger</t>
  </si>
  <si>
    <t>GE Digital Energy</t>
  </si>
  <si>
    <t>The ChannelCenterFreq of the channels change as a function of the ChanSpacing. This causes an issue with the mode switch command as the frequency should be changed when the modulation is changed to one that requires a larger bandwidth</t>
  </si>
  <si>
    <t>Solution as proposed in DCN 15-10-0478-00-004g</t>
  </si>
  <si>
    <t>Modulation</t>
  </si>
  <si>
    <t>Make mode switch a MAC function</t>
  </si>
  <si>
    <t>Change to state "the center frequency will not be changed by the mode switch mechanism." By the current channel scheme keeping the channel number means you need to change the center frequency if the channel spacing is changed to accommodate a new modulation.</t>
  </si>
  <si>
    <t>Radio Specification</t>
  </si>
  <si>
    <t>Khanh Tuan Le</t>
  </si>
  <si>
    <t>Kuor-Hsin Chang</t>
  </si>
  <si>
    <t>Since the BCH(15,11) code and the parity bit can provide single error correction and double error detection, no additional FEC is needed for mode switch PPDU.</t>
  </si>
  <si>
    <t>Add text "No additional FEC is required for mode switch PPDU." to the end of "…bits of information in the mode switch PPDU."</t>
  </si>
  <si>
    <t>9-10</t>
  </si>
  <si>
    <t>No additional FEC is needed for mode switch PPDU.</t>
  </si>
  <si>
    <t>Delete text "Note that LPSDU is zero in the case of a mode switching frame."</t>
  </si>
  <si>
    <t>48</t>
  </si>
  <si>
    <t>For mode switch, the reception of the new mode packet and the transmission of ACK (if necessary) should be all under the new mode.</t>
  </si>
  <si>
    <t>15-10-0928-01-004g-LB59-Comments - MODE SWITCH Resolutions.xls</t>
  </si>
  <si>
    <t>Change text "Once the reception of the following frame is completed" to "Once the receiving process (includes transmitting the acknowledgement frame if necessary) of the following frame is completed".</t>
  </si>
  <si>
    <t>Larry Taylor</t>
  </si>
  <si>
    <t>DTC (UK) &amp; SSN</t>
  </si>
  <si>
    <t>Is the statement “The Mode Switch Parameter Entry table is defined by the NHL” true?</t>
  </si>
  <si>
    <t>If not then correct the statement otherwise remove the definition of the Mode Switch Parameter Entry table from the 4g amendment</t>
  </si>
  <si>
    <t>Liang Li</t>
  </si>
  <si>
    <t>Mark Dawkins</t>
  </si>
  <si>
    <t>Matt Boytim</t>
  </si>
  <si>
    <t>Sensus</t>
  </si>
  <si>
    <t>Khurram Waheed/Mike Dow</t>
  </si>
  <si>
    <t>Clint Powell</t>
  </si>
  <si>
    <t>G</t>
  </si>
  <si>
    <t>No</t>
  </si>
  <si>
    <t>Cristina Seibert</t>
  </si>
  <si>
    <t>Silver Spring Networks</t>
  </si>
  <si>
    <t>David Cypher</t>
  </si>
  <si>
    <t>David Evans</t>
  </si>
  <si>
    <t>Dietmar Eggert</t>
  </si>
  <si>
    <t>Atmel</t>
  </si>
  <si>
    <t>6</t>
  </si>
  <si>
    <t>6.12a.3</t>
  </si>
  <si>
    <t>67</t>
  </si>
  <si>
    <t xml:space="preserve">Mode of ACK frame is not clear. </t>
  </si>
  <si>
    <t>Specify ACK mechanism in case of mode switch.</t>
  </si>
  <si>
    <t>68</t>
  </si>
  <si>
    <t>A zero length secondary preamble and no secondary SFD will cause a lot of trouble for sync on the  OFDM packet. Introducing this degree of freedom will cause a lot of questions and is at the end not helpful.</t>
  </si>
  <si>
    <t>Reduce the list in the ModeSwitchDescriptor to a useful subset, especially when switching from the MR-FSK PHY to the MR-OFDM or MR-O-QPSK PHY.</t>
  </si>
  <si>
    <t>Emmanuel Monnerie</t>
  </si>
  <si>
    <t>Landis+Gyr</t>
  </si>
  <si>
    <t>It is not clear how the 2 bits of Mode Switch Parameter Entry are used.  As defined in the current text, the field phyModeSwitchParameterEntries appears to be useless.</t>
  </si>
  <si>
    <t xml:space="preserve">Modify the text and insert an example. </t>
  </si>
  <si>
    <t>Table 29b lists 4 PHY modes : Filtered FSK, OFDM, O-QPSK-DSSS and O-QPSK-MDSSS, but table 1 has 5 different modes : GFSK, Filtered 2-FSK, Filtered 4-FSK, OFDM, O-QPSK (only one O-QPSK mode).</t>
  </si>
  <si>
    <t>Match the mode switch modes in table 29b with the modes listed in table 125b. 3 bits are needed, but 4 bits are recommended (as defined in table 125b) to keep some reserved bits.</t>
  </si>
  <si>
    <t>Henk de Ruijter</t>
  </si>
  <si>
    <t>James Gilb</t>
  </si>
  <si>
    <t>6.1.2.7.1</t>
  </si>
  <si>
    <t>Schwoerer</t>
  </si>
  <si>
    <t>yes</t>
  </si>
  <si>
    <t>Jeritt Kent</t>
  </si>
  <si>
    <t>Analog Devices, Inc.</t>
  </si>
  <si>
    <t>Check</t>
  </si>
  <si>
    <t>Why are Table 4b and 29b different?  Does this present the possibility that two bits is insufficient for this objective?</t>
  </si>
  <si>
    <t>Ensure that two bits is enough to futureproof and check the differences between the two tables</t>
  </si>
  <si>
    <t>6.12a.1.4</t>
  </si>
  <si>
    <t>It is interesting that there are "no return" scenarios for mode switch - ie for Entries 1-3, once the mode switch occurs, there is no way to recover.  If there is a recovery mechanism, it should be described.</t>
  </si>
  <si>
    <t>IEEE P802.15</t>
  </si>
  <si>
    <t>Wireless Personal Area Networks</t>
  </si>
  <si>
    <t>Project</t>
  </si>
  <si>
    <t>IEEE P802.15 Working Group for Wireless Personal Area Networks (WPANs)</t>
  </si>
  <si>
    <t>Title</t>
  </si>
  <si>
    <t>802.15.4g Letter Ballot Comment Submission</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</si>
  <si>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</si>
  <si>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</si>
  <si>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</si>
  <si>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</si>
  <si>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</si>
  <si>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</si>
  <si>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</si>
  <si>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</si>
  <si>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</si>
  <si>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</si>
  <si>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</si>
  <si>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Category</t>
  </si>
  <si>
    <t>Clause</t>
  </si>
  <si>
    <t>Sub-clause</t>
  </si>
  <si>
    <t>Page</t>
  </si>
  <si>
    <t>Line #</t>
  </si>
  <si>
    <t>Comment</t>
  </si>
  <si>
    <t>Proposed Change</t>
  </si>
  <si>
    <t>Must Be Satisfied?    (if so enter Yes)</t>
  </si>
  <si>
    <t>IEEE 802.19 WG</t>
  </si>
  <si>
    <t>T</t>
  </si>
  <si>
    <t>E</t>
  </si>
  <si>
    <t>Clint Chaplin</t>
  </si>
  <si>
    <t>Editorial</t>
  </si>
  <si>
    <t>Yes</t>
  </si>
  <si>
    <t>6.3a.1.4</t>
  </si>
  <si>
    <t>Alan Wong</t>
  </si>
  <si>
    <t>Benjamin A. Rolfe</t>
  </si>
  <si>
    <t>Blind Creek Associates, Silver Spring Networks</t>
  </si>
  <si>
    <t>6.1.2.5a</t>
  </si>
  <si>
    <t>6.2.1.1.1</t>
  </si>
  <si>
    <t>6.2.1.1.3</t>
  </si>
  <si>
    <t xml:space="preserve">Term "mode" is ambiguous and contradicts how the term "mode" is used in the base standard.  Replace with "PHY mode" everywhere "mode" is used to mean PHY mode, such as everywhere "mode switch" is used. </t>
  </si>
  <si>
    <t>Change "mode switch" to "PHY mode switch" throughout.</t>
  </si>
  <si>
    <t>Bob Mason</t>
  </si>
  <si>
    <t>Elster Solutions</t>
  </si>
  <si>
    <t>Table 8</t>
  </si>
  <si>
    <t>The valid range for NewModeSUNPage is incorrect.</t>
  </si>
  <si>
    <t>Change the valid range from an enumeration of NewModePage7, NewModePage8 to a 32-bit integer that is per the SUN channel page definition and re-word the Description to state that the NewModeSUNPage is the 32-bit channel page definition for the new mode, where the channel page defines the modulation scheme and PHY mode.</t>
  </si>
  <si>
    <t>Texas Instruments</t>
  </si>
  <si>
    <t xml:space="preserve">Insufficient information is given as to the source of the new mode. </t>
  </si>
  <si>
    <t>Reference to ModeSwitchParameterEntry and/or forward reference to a comple description of the mode switch mechanism is required.</t>
  </si>
  <si>
    <t>The definition of the Mode field is not defined for the case where the PAGE field equals 1.</t>
  </si>
  <si>
    <r>
      <t xml:space="preserve">Insert the following text:
"When the PAGE field is one (channel page 8), the MODE field selects the element (0-15) in </t>
    </r>
    <r>
      <rPr>
        <i/>
        <sz val="10"/>
        <rFont val="Arial"/>
        <family val="2"/>
      </rPr>
      <t>phySUNGenericPHYDescriptors</t>
    </r>
    <r>
      <rPr>
        <sz val="10"/>
        <rFont val="Arial"/>
        <family val="2"/>
      </rPr>
      <t>."</t>
    </r>
  </si>
  <si>
    <t>Mode Switch</t>
  </si>
  <si>
    <t>Chang</t>
  </si>
  <si>
    <t>Samsung Electronics</t>
  </si>
  <si>
    <t>"where addition is modulo-2 addition (addition over GF(2))"</t>
  </si>
  <si>
    <t>"where  is modulo-2 addition (addition over GF(2))" where  is the circle around the plus symbol.</t>
  </si>
  <si>
    <t>Format of Figure 27e is wildly different from that of the "other" PPDU figure, figure 16 in 15.4-2006.</t>
  </si>
  <si>
    <t>Make the format of the new figure match that of the old.</t>
  </si>
  <si>
    <t>The behavior of the receiving device in response to the values of the Checksum and Parity Check fields is unstated.  What should the device do in response to the values it receives in these fields?  Which one should it check first?</t>
  </si>
  <si>
    <t>The mode switch packet would be easy to reproduce by an attacker, since there is no encryption. This represents an easy entry point for denial of service attack.</t>
  </si>
  <si>
    <t>The support for mode switching must be optional. Add a PIB attribute (phyModeSwitchingSupport, boolean) that enables or disables mode switching.</t>
  </si>
  <si>
    <t>Annex D</t>
  </si>
  <si>
    <t>D.7.2.2</t>
  </si>
  <si>
    <t>Need to state that mode switch is prohibited for licensed bands</t>
  </si>
  <si>
    <t>Prohibit mode switch for licensed bands</t>
  </si>
  <si>
    <t>6.2.1.1</t>
  </si>
  <si>
    <t>ModeSwitch is only relevant for SUN PHYs</t>
  </si>
  <si>
    <t>Correct description</t>
  </si>
  <si>
    <t>ModeSwitchParameterEntry is only relevant for SUN PHYs</t>
  </si>
  <si>
    <t>48-50</t>
  </si>
  <si>
    <t>The meaning is difficult to understand.</t>
  </si>
  <si>
    <t>It is recommended to rephrase this sentence.</t>
  </si>
  <si>
    <t>The description should contain what a value of TRUE means and what a value of FALSE means. Move the rest of the text elsewhere. This comment also applies to Table 77 on page 110.</t>
  </si>
  <si>
    <t>Move the text "Both PPDUs are transmitted…NewModeSUNPage" to a more appropriate (and more prominent) place. Make this same change in both tables 8 and 77.</t>
  </si>
  <si>
    <t>The text says "The PPDU containing the PSDU." Don't both packets have PSDUs? This comment also applies to Table 77.</t>
  </si>
  <si>
    <t>Please clarify. If they don't both contain PSDUs, then please clearly show this in 6.3a.</t>
  </si>
  <si>
    <t>Text says: "a following PPDU containing PSDU." This is two packets, right? And both contain a PSDU? Wording is very awkward.</t>
  </si>
  <si>
    <t>6.2.1.2.2</t>
  </si>
  <si>
    <t>Remove the text "if ModeSwitch is TRUE…transmitted successfully." The text just before already says that "the request to transmit was successful." Text also contributes to poor sentence structure.</t>
  </si>
  <si>
    <t>Remove redundant text.</t>
  </si>
  <si>
    <t>Figure 27e is not in the proper format. Actually, it appears to be the same as Figure 27a.</t>
  </si>
  <si>
    <t>1. Add the following sentence to the end of the first paragraph in 6.3a.1: "If mode switching is enabled, the new mode packet (the packet following the mode switch PPDU) shall be formatted as shown in Figure 27a."
2. Mention that the preamble and SFD are optional. Tie in the names from Table 31b.
3.Only show the PHR in Figure 27e. Note that this is the title of the subclause anyway.
4. Change the figure title to "Format of the PHR for MR-FSK new mode packet."</t>
  </si>
  <si>
    <t>The text " 'Standard-Defined PHY Modes' field" no longer appears in table 22a.</t>
  </si>
  <si>
    <t>Maybe replace with "bitmap" and add a cross-reference to table 22a.</t>
  </si>
  <si>
    <t>Accept in principle. The comment for Table 8 is resolved by comment 478. Table 77 should be changed to reference the corresponding fields in Table 8 (to avoid duplication of the same information).</t>
  </si>
  <si>
    <t>Accept in principle. It is beneficial to keep settling delay as variable since it is implementation specific. Also, it will be communicated over the air. Hence there is no interoperability issue. No change is needed.</t>
  </si>
  <si>
    <t>November, 2010</t>
  </si>
  <si>
    <t>E-mail: kuor-hsin.chang@us.elster.com</t>
  </si>
  <si>
    <t>Comment resolution for d2P802-15-4g_Draft_Standard</t>
  </si>
  <si>
    <t>Mode switch comment resolution for d2P802-15-4g draft standard</t>
  </si>
  <si>
    <t>This document presents resolution for the comments related to PHY mode switching.</t>
  </si>
  <si>
    <t>Accept in principle. Resolution is the same as CID #211.</t>
  </si>
  <si>
    <t>Accept in principle. Resolution same as CID 593.</t>
  </si>
  <si>
    <t>Accept in principle. The resolution is the same as the resolution for CID 356.</t>
  </si>
  <si>
    <t>Chin-Sean Sum</t>
  </si>
  <si>
    <t>CheolHo Shin</t>
  </si>
  <si>
    <t>Jonathan Simon</t>
  </si>
  <si>
    <t>Kazuyuki Yasukawa</t>
  </si>
  <si>
    <t>Sangsung Choi</t>
  </si>
  <si>
    <t>Sverre Brubaek</t>
  </si>
  <si>
    <t>TaeJoon Park</t>
  </si>
  <si>
    <t>Wun-Cheol Jeong</t>
  </si>
  <si>
    <t>Xiang Wang</t>
  </si>
  <si>
    <t>November 2010</t>
  </si>
  <si>
    <t>Michael Schmidt</t>
  </si>
  <si>
    <t>30-36</t>
  </si>
  <si>
    <t xml:space="preserve">What is the motivation to extend the mode switch mechanism to PHYs other than MR-FSK? Draft D1 constrains mode switch to MR-FSK only. Here are a few issues: The  MR-OFDM PHY  relies on the properties  of the STF and LTF for synchronization. Frequency offset estimation and channel sounding can hardly be obtained at appropriate performance if based on the SHR of the MR-FSK PHY. Similarly, the MR-O-QPSK PHY benefits from dedicated DSSS sequences during SHR. </t>
  </si>
  <si>
    <t xml:space="preserve">Revise section 6.3a.1.4. It appears much simpler to transmit a complete PPDU corresponding to the new PHY. Revise the benefit of mode switch from FSK to MR-OFDM or to MR-O-QPSK. </t>
  </si>
  <si>
    <t xml:space="preserve">The scope of the ,next PPDU' as shown in figure 27e is not clear. Shall it contain PPDUs according to the MR-O-QPSK PHY and the MR-OFDM PHY? If so, the entries are not consistent with regard to the PPDU description  according to 6.3a.2 and 6.3a.3. The entries of new Mode field for MR-O-OQPSK are redundant. Note that all information on the rate mode and the spreading mode are part of the PHR field, see 6.3a.2.3. </t>
  </si>
  <si>
    <t>6.3.1.4</t>
  </si>
  <si>
    <t>The checksum field B3-B0 in conjunction with the Parity Check Field is useless, since it is only applied if ModeSwitch == 1 and the corresponding information bit indicating ModeSwitch is (approximately)  subject to the same bit error rate as all other PHR bits.</t>
  </si>
  <si>
    <t>Remove checksum bits B3-B0 and the parity check bit.</t>
  </si>
  <si>
    <t xml:space="preserve">Mode of ACK frame of 'next PPDU' is not clear. </t>
  </si>
  <si>
    <t>6.12.3</t>
  </si>
  <si>
    <t>When switching  to a different data rate or even to a different PHY mode, both the transmitter and the  receiver will need to adjust several processing units in the data path (e.g. anti-aliasing filter, receive filter, sampling rate conversion unit, e.t.c.), causing a change in the group delay. It might be practically impossible to synchronize without a secondary  preamble. Note also that both the MR-O-OFDM PHY and the MR-O-QPSK PHY, as described in 6.12b and 6.12c, respectively  support a non-variable SHR structure only. What is introduced here is an extremely difficult Multi-rate-PHY.</t>
  </si>
  <si>
    <t>'less is more' ! Completely revise phyModeSwitchParameterEntries.</t>
  </si>
  <si>
    <t>Proposed Resolution</t>
  </si>
  <si>
    <t>A / AP / R / Z</t>
  </si>
  <si>
    <t>Resolution
Accept Date</t>
  </si>
  <si>
    <t>Group</t>
  </si>
  <si>
    <t>#</t>
  </si>
  <si>
    <t>Resolution
Assignment</t>
  </si>
  <si>
    <t>Resolution sent to
commenter (date)</t>
  </si>
  <si>
    <t>Commenter agreed?
Y/N</t>
  </si>
  <si>
    <t>for
Editorial
Stats</t>
  </si>
  <si>
    <t>for
Tech/Gen
Stats</t>
  </si>
  <si>
    <t>Resolution
Due Date</t>
  </si>
  <si>
    <t>Open Technical
Comment
Assignments</t>
  </si>
  <si>
    <t>vote
select</t>
  </si>
  <si>
    <t>Commentors</t>
  </si>
  <si>
    <t># Comments</t>
  </si>
  <si>
    <t>Technical &amp; General</t>
  </si>
  <si>
    <t>Ready to Vote On</t>
  </si>
  <si>
    <t>Work in Progress</t>
  </si>
  <si>
    <t>Open - Not assigned</t>
  </si>
  <si>
    <t>Accept</t>
  </si>
  <si>
    <t>Reject</t>
  </si>
  <si>
    <t>Principle</t>
  </si>
  <si>
    <t>Withdrawn</t>
  </si>
  <si>
    <t>Out of scope</t>
  </si>
  <si>
    <t>Unresolvable</t>
  </si>
  <si>
    <t>Total resolved T's and G's</t>
  </si>
  <si>
    <t>Percent resolved T's and G's</t>
  </si>
  <si>
    <t>Total resolved E's</t>
  </si>
  <si>
    <t>Percent resolved E's</t>
  </si>
  <si>
    <t>Overall</t>
  </si>
  <si>
    <t>Total resolved T's, G's and E's</t>
  </si>
  <si>
    <t>Percent resolved T's, G's and E's</t>
  </si>
  <si>
    <t>Sort by Group</t>
  </si>
  <si>
    <t>Bit Order</t>
  </si>
  <si>
    <t>Channel Allocation</t>
  </si>
  <si>
    <t>Channel Page</t>
  </si>
  <si>
    <t>Channelization</t>
  </si>
  <si>
    <t>Coexistence</t>
  </si>
  <si>
    <t>CSM</t>
  </si>
  <si>
    <t>Data Rate</t>
  </si>
  <si>
    <t>FEC</t>
  </si>
  <si>
    <t>FH</t>
  </si>
  <si>
    <t>FSK</t>
  </si>
  <si>
    <t>Generic PHY</t>
  </si>
  <si>
    <t>MAC</t>
  </si>
  <si>
    <t>Minor T&amp;G</t>
  </si>
  <si>
    <t>OFDM</t>
  </si>
  <si>
    <t>OQPSK</t>
  </si>
  <si>
    <t>Preamble</t>
  </si>
  <si>
    <t>Scrambing</t>
  </si>
  <si>
    <t>SFD</t>
  </si>
  <si>
    <t>Switching</t>
  </si>
  <si>
    <t>Group Total</t>
  </si>
  <si>
    <t>Open Assigned T's</t>
  </si>
  <si>
    <t>Total assigned open T's</t>
  </si>
  <si>
    <t>Percent open T's assigned</t>
  </si>
  <si>
    <t>assignee name</t>
  </si>
  <si>
    <t>NOT SORTED</t>
  </si>
  <si>
    <t>Accept in principle. Resolution same as CID #593.</t>
  </si>
  <si>
    <t>Clarify scope of ,next PPDU'. In case Modulation Scheme is other than FSK, reference to the corresponding PHYs. Combine O-QPSK-DSSS and O-QPSK-MDSS by MR-O-QPSK. MD3-MD0 can be set to zero for MR-O-QPSK. In Table 29b replace O-QPSK-DSSS by MR-O-QPSK PHY and replace last row by 'reserved'.</t>
  </si>
  <si>
    <t>AP</t>
  </si>
  <si>
    <t>Accept in principle. The resolution is the same as the resolution for CID 64.</t>
  </si>
  <si>
    <t>A</t>
  </si>
  <si>
    <t>R</t>
  </si>
  <si>
    <t>Z</t>
  </si>
  <si>
    <r>
      <t xml:space="preserve">What behavior is expected of the rest of the network devices if a beaconing coordinator performs the mode switch mechanism?  At present, the network devices will declare a loss of synchronization after missing </t>
    </r>
    <r>
      <rPr>
        <i/>
        <sz val="10"/>
        <rFont val="Arial"/>
        <family val="2"/>
      </rPr>
      <t>aMaxLostBeacons</t>
    </r>
    <r>
      <rPr>
        <sz val="10"/>
        <rFont val="Arial"/>
        <family val="2"/>
      </rPr>
      <t>; the value of this constant is 4.  In a typical network beaconing every 15.36 ms, the remaining devices will then desynchronize 61.44 ms after the last beacon they hear.  The devices may then, under the direction of the NHL, perform an orphan channel scan (7.5.2.1.4), during which their MACs "shall discard all frames received over the PHY data service that are not coordinator realignment command frames."  This seems like a Bad Thing (tm).</t>
    </r>
  </si>
  <si>
    <t>It seems like, if the mode switch mechanism is not to break a beaconing network, the coordinator must return to the old PHY in time to miss sending fewer than four beacons.  Or prohibit beaconing coordinators from using the mode switch mechanism.  Or delete the mode switch mechanism in its entirety.</t>
  </si>
  <si>
    <t>Michael Bahr</t>
  </si>
  <si>
    <t>Tim Godfrey</t>
  </si>
  <si>
    <t>Tim Schmidl</t>
  </si>
  <si>
    <t>Wei Hong</t>
  </si>
  <si>
    <t>Cisco Systems</t>
  </si>
  <si>
    <t>48-49</t>
  </si>
  <si>
    <t>There is no way to mode switch to a higher data rate then stay in that mode for an extended period of time.  Mode switch frames are required for every transmission.  This is inefficient.</t>
  </si>
  <si>
    <t>Introduce a mechanism to make the mode switch sticky.  However it is tricky because of different nodes may want to transmit at different speed.</t>
  </si>
  <si>
    <t>Bruce Kraemer</t>
  </si>
  <si>
    <t>Ed Callaway</t>
  </si>
  <si>
    <t>Delete the Mode Switch mechanism from the draft.</t>
  </si>
  <si>
    <t>"The Mode Switch Parameter Entry table is defined by the NHL."  The standard may not place any requirements on the NHL.  It is limited by its PAR to the PHY, and changes to the MAC necessary to implement the PHY additions.</t>
  </si>
  <si>
    <t>Delete this line.  Or modify it to read, "The Mode Switch Parameter Entry table can be defined by the NHL."</t>
  </si>
  <si>
    <t>What happens if an acknowledgement is requested in the MPDU sent via the change mode method?  In what mode is it sent?  Is it prohibited?</t>
  </si>
  <si>
    <t>Please elucidate.</t>
  </si>
  <si>
    <t>There will also be a settling delay when changing from the new mode back to the previous operating mode.  Is this specified anywhere?  If not, why not?</t>
  </si>
  <si>
    <r>
      <t xml:space="preserve">"The Mode Switch Parameter Entry field (M1–M0) is the index of the entry in the </t>
    </r>
    <r>
      <rPr>
        <i/>
        <sz val="10"/>
        <rFont val="Arial"/>
        <family val="2"/>
      </rPr>
      <t>phyModeSwitchParameterEntries</t>
    </r>
    <r>
      <rPr>
        <sz val="10"/>
        <rFont val="Arial"/>
        <family val="2"/>
      </rPr>
      <t xml:space="preserve"> array (see Table 31) that defines the mode switch parameters (see Table 31b) to be used."  I don't understand:  How can the transmitting device know the values in the </t>
    </r>
    <r>
      <rPr>
        <i/>
        <sz val="10"/>
        <rFont val="Arial"/>
        <family val="2"/>
      </rPr>
      <t>phyModeSwitchParameterEntries</t>
    </r>
    <r>
      <rPr>
        <sz val="10"/>
        <rFont val="Arial"/>
        <family val="2"/>
      </rPr>
      <t xml:space="preserve"> array in the PIB of the receiving device?  Even if it thought it did, what happens if it were wrong?  Is there some timeout timer that eventually brings the lost device back to the original PHY? What does the receiving device do if the index sent points to an unsupported parameter (e.g., R = 4, yet the receiving device has only 3 rows in its </t>
    </r>
    <r>
      <rPr>
        <i/>
        <sz val="10"/>
        <rFont val="Arial"/>
        <family val="2"/>
      </rPr>
      <t>phyModeSwitchParameterEntries</t>
    </r>
    <r>
      <rPr>
        <sz val="10"/>
        <rFont val="Arial"/>
        <family val="2"/>
      </rPr>
      <t xml:space="preserve"> array)?</t>
    </r>
  </si>
  <si>
    <t>Please elucidate.  Or delete the Mode Switch mechanism from the draft.</t>
  </si>
  <si>
    <t>"the Modulation Scheme bits are not used."  I assume that this is shorthand for, "the Modulation Scheme bits shall be set to zero upon transmission and ignored upon reception"?</t>
  </si>
  <si>
    <t>Change text to, "the Modulation Scheme bits shall be set to zero upon transmission and ignored upon reception."</t>
  </si>
  <si>
    <t>Accept in principle. Mode switch will take place under the condition that the channel center frequency is not changed. In Table 8, for the description of ModeSwitch, change "Both PPDUs are transmitted on
phyCurrentChannel" to "The mode switch PPDU is transmitted on phyCurrentChannel and the PPDU containing the PSDU is transmitted on the channel that corresponds to the same center frequency as used for the mode switch PPDU."
On page 32, line 50, delete ",using TxChannel" from the sentence "and the following PPDU consecutively, as shown in Figure 23, using TxChannel."</t>
  </si>
  <si>
    <t>Accept. Remove the following text:
if ModeSwitch is TRUE…transmitted successfully,"</t>
  </si>
  <si>
    <t xml:space="preserve">Accept in Principle.
Move "Both PPDUs are transmitted on phyCurrentChannel" to "The mode switch PPDU is transmitted on phyCurrentChannel and the PPDU containing the PSDU is transmitted on the channel that corresponds to the same center frequency as used for the mode switch PPDU." to 6.12a.3. And the editors will polish the text. 
The comment for Table 8 is resolved by comment 478. Table 77 should be changed to reference the corresponding fields in Table 8 (to avoid duplication of the same information).
</t>
  </si>
  <si>
    <t>Accept in Principle.
Add the following to the end of the description for ModeSwitch:
PHY mode switch is only allowed for the SUN PHYs.</t>
  </si>
  <si>
    <t>Accept in Principle.
The description for ModeSwitchParameterEntry states that is only valid if ModeSwitch = TRUE and the resolution to 691 defines that ModeSwitch can only be TRUE for SUN PHYs.
Resolved by CID 691.</t>
  </si>
  <si>
    <r>
      <t>Accept in Principle.
Change NewModeSUNPage to N</t>
    </r>
    <r>
      <rPr>
        <i/>
        <sz val="10"/>
        <rFont val="Arial"/>
        <family val="2"/>
      </rPr>
      <t xml:space="preserve">ewModeSunPageEntry. </t>
    </r>
    <r>
      <rPr>
        <sz val="10"/>
        <rFont val="Arial"/>
        <family val="2"/>
      </rPr>
      <t xml:space="preserve">The Type, Valid Range, and Description fields should be the same as defined for </t>
    </r>
    <r>
      <rPr>
        <i/>
        <sz val="10"/>
        <rFont val="Arial"/>
        <family val="2"/>
      </rPr>
      <t>phyCurrentSUNPageEntry</t>
    </r>
    <r>
      <rPr>
        <sz val="10"/>
        <rFont val="Arial"/>
        <family val="2"/>
      </rPr>
      <t xml:space="preserve">. Instead of duplicating the information, change the Description field for NewModeSunPageEntry to say: "The modulation scheme and particular PHY mode for the new mode as defined by the channel page structure. The type and valid range are the same as defined for </t>
    </r>
    <r>
      <rPr>
        <i/>
        <sz val="10"/>
        <rFont val="Arial"/>
        <family val="2"/>
      </rPr>
      <t>phyCurrentSUNPageEntry</t>
    </r>
    <r>
      <rPr>
        <sz val="10"/>
        <rFont val="Arial"/>
        <family val="2"/>
      </rPr>
      <t>."</t>
    </r>
  </si>
  <si>
    <t>Accept in Principle.
Resolved by CID 789.</t>
  </si>
  <si>
    <t>Accept in Principle.
Yes, one PD-DATA.request triggers the transmission of two PPDUs. Modify the text on page 32 line 48 as follows: "If ModeSwitch is TRUE, the receipt of the PD-DATA.request primitive by the PHY entity will cause the transmission of two PPDUs. The first PPDU will be the mode switch PPDU and the second PPDU will be the PPDU that contains the PSDU. The second PPDU will be transmitted in the new PHY mode.</t>
  </si>
  <si>
    <t>Accept in Principle.
Delete the following text:
", as shown in Figure 23," from line 50 of page 32.
Insert the following text on page 68 after Table 75e:
The sequence of the mode switch PPDU, the optional settling delay, and the PPDU transmitted in the new PHY mode is shown in Figure xx (Figure 23 in D2). 
Move Figure 23 to this section following the newly inserted text. Figure 23 will be renumbered accordingly.</t>
  </si>
  <si>
    <t>wp</t>
  </si>
  <si>
    <t>Accept in Principle.
Change text “The mode of the next PPDU transmitted shall be as described by the remaining fields contained in the PHR.” to “The mode of the next PPDU transmitted (i.e., the new mode packet) shall be as described by the remaining fields contained in the PHR.”</t>
  </si>
  <si>
    <t>Accept in Principle.
Resolved by CID 799.</t>
  </si>
  <si>
    <t>Accept in Principle.
Delete Figure 27e and delete the sentence "A next PPDU packet structure is shown in Figure 27e" from page 39 lines 53-54.
Move the description of which PPDU is used to Section 6.12a.3. 
In 6.12a.3, on line 46, change from "When a mode switch packet is received, namely … is set to one," to
"When a MR-FSK mode switch PPDU is received (refer to Figure 27b),"
In this section (6.12a.3) change all references to mode switch packet to MR-FSK mode switch PPDU.
On page 67 line 52, add "(refer to Table 31 b) after "These parameters are elements of a ModeSwitchDescriptor.
Insert the following text in 6.12a.3 after Table 75e:
The format of the PPDU transmitted in the new PHY mode is determined by the new PHY mode. If the new mode is MR-FSK, the new mode PPDU is the same as Figure 27a except that the preamble and SFD are optional. If the new mode is MR-O-QPSK, the new mode packet is the same as Figure 26g (the preamble and SFD shall be included). For MR-OFDM, the new mode packet has the same format as Figure 26j.</t>
  </si>
  <si>
    <t>Reject.
Text is clear as written.</t>
  </si>
  <si>
    <t>Accept in Principle.
Change the text 
in the "Standard-Defined PHY Modes" field of channel page 7 
to
in the PHY mode bitmap, and selects the particular PHY mode.</t>
  </si>
  <si>
    <r>
      <t xml:space="preserve">Accept in Principle.
Insert the following text: "When the PAGE field is one (channel page 8), the MODE field selects the element (0-15) in </t>
    </r>
    <r>
      <rPr>
        <i/>
        <sz val="10"/>
        <rFont val="Arial"/>
        <family val="2"/>
      </rPr>
      <t>phySUNGenericPHYDescriptors</t>
    </r>
    <r>
      <rPr>
        <sz val="10"/>
        <rFont val="Arial"/>
        <family val="2"/>
      </rPr>
      <t>, and the new PHY mode is defined by the Generic PHY mechanism."</t>
    </r>
  </si>
  <si>
    <t>Accept in Principle.
As described in comment 799, if the new mode is MR-OFDM or MF-O-QPSK, the new mode PPDU will be per the corresponding PPDU definitions and the SHRs are not optional.
To further clarify, modify Table 31b as follows:
Rename secondaryPreambleLength to secondaryFSKPreambleLength and add the following in front of the existing description "If the new mode is MR-FSK, the ...." At the end of the description add "This parameter does not apply if the new mode if MR-OFDM or MF-O-QPSK"
Rename secondarySFD to secondaryFSKSFD and add the following in front of the existing description "If the new mode is MR-FSK, a ...." At the end of the description add "This parameter does not apply if the new mode if MR-OFDM or MF-O-QPSK"
In Table 75e, change the parameter names as described above, and for entry 2 (FSK-&gt;OFDM) and entry 3 (FSK-&gt;O-QPSK), change the value of secondaryPreambleLength to 0 (not applicable for this new mode) and SecondarySFD to TRUE (the SHR must be present for this new mode). Also change FSK-&gt;O-QPSK-DSSS to FSK-&gt;O-QPSK.</t>
  </si>
  <si>
    <t>Accept in Principle.
Resolved in CID 696.</t>
  </si>
  <si>
    <t>Accept in Principle.
Insert the following text on page 41, line 8: The receiving device validates the BCH(15,11) codeword and then the Parity Check field. If either validation fails, the receiver terminates the receive procedure; otherwise the receiver continues processing received symbols to decode the subsequent PPDU.</t>
  </si>
  <si>
    <t xml:space="preserve">Accept in Principle.
Delete Table 29b and replace all references to Table 29b in the draft to Table 4b. Replace text in line 30-35 on page 40 with the following text:
If Modulation Scheme is not filtered FSK, MD3-MD0 are set to zero by the transmitter and ignored by the receiver and the corresponding data rates are specified in the PHR of the new mode PPDU.
</t>
  </si>
  <si>
    <t>7.3a.3.2</t>
  </si>
  <si>
    <t>The PIB Attribute Values in Figure 103h that are to be transmitted over the air are not sufficient to describe a Mode Switch.</t>
  </si>
  <si>
    <t>Add modulation transition to Figure 103h.</t>
  </si>
  <si>
    <t>Reject. The mode switch mechanism is optional, and there is no reason that is could not be used for a mode switch from one MR-FSK mode to another. It does not need to be precluded from the licensed bands.</t>
  </si>
  <si>
    <t xml:space="preserve">   11/9/2010</t>
  </si>
  <si>
    <t xml:space="preserve">Reject.
An implementer can utilize the BCH code and the parity check bit to provide certain protection to insure that the mode switch is valid and the mode switch related information is correct. </t>
  </si>
  <si>
    <t>Accept in principle. Change text "The Mode Switch Parameter Entry table is defined by the NHL." to "The Mode Switch Parameter Entry table may be defined by the next higher layer."</t>
  </si>
  <si>
    <t>Accept in principle. Resolved by CID #356.</t>
  </si>
  <si>
    <t>Accept in principle. Change the first "addition" to the exclusive OR symbol</t>
  </si>
  <si>
    <t>Accept in principle. Add the following text after "…in Table 75e." in line 2 of Page 68:
For the mode switch operation of FSK-&gt;FSK, the symbol rate is changed. For the mode switch operation of FSK-&gt;4FSK, the modulation order and/or the symbol rate is changed.</t>
  </si>
  <si>
    <t xml:space="preserve">I confess that I can not think of a use for the Mode Switch mechanism.  I also have a lot of questions on its operation.  (1) On line 48 it says that "Once the reception of the following frame is completed, the mode of operation of the receiver goes back to its previous mode."  What determines "reception of the following frame"? Does CRC have to check?  Address?  What if security fails?  The PHY just does CRC checking; everything else is done at higher layers.  When the MSDU is sent to the NHL, what primitive sends word down from the NHL to the PHY that the frame received was, in fact, the correct one and not something that happened to be on the air at the time?  Where's the time-out timer in case the frame never arrives -- how long does the receiver wait?  Forever?
</t>
  </si>
  <si>
    <t xml:space="preserve">When using Mode Switch the text states "The channel number and frequency band shall not be changed by the mode switch mechanism. Channel alignment shall be assumed during mode switch operation."..... This will require a center frequency change per the channel alignment for SUN PHYs and the channel center frequencies for the various modulation schemes are shown in Table 75f". The ext should be change to state "the center frequency will not be changed by the mode switch mechanism"
</t>
  </si>
  <si>
    <t xml:space="preserve">The mode switch should be done as a unicast addressed packet. Very wasteful to change the state of all radios within receive range. Functionality could be misused making it very easy to build a device that would create a denial of service. A radio can rapidly generate a mode switch packet on random frequencies every &lt;2 mS. This is much more destructive than a standard packet as it leaves the channel unusable for a relatively long time after the 2 mS transmission is complete.
 </t>
  </si>
  <si>
    <t>Figure 23 provides little if any value</t>
  </si>
  <si>
    <t>Edit to provide value or remove</t>
  </si>
  <si>
    <t>Easy</t>
  </si>
  <si>
    <t>Accept in principle. Resolved by CID 790.</t>
  </si>
  <si>
    <t>7.1.1.1.1</t>
  </si>
  <si>
    <t>Accept in principle. Add text "This parameter is only valid for MR-FSK PHY" to the end of the Description for ModeSwitch.</t>
  </si>
  <si>
    <t>The editors will clarify and use PHY mode switch where applicable. 
Editor's note: 4i has removed all of the PHY primitives. Therefore, the corresponding text in the 4g draft will be removed as well.</t>
  </si>
  <si>
    <t xml:space="preserve">Accept in principle. As the commenter points out the PHY mode of the ACK is not specified in the draft. 
Delete text "Once the reception of the following frame is completed, the mode of operation of the receiver goes back to its previous mode." in line 48-49 of page 67.
Add the following paragraph after line 3 of page 68:
"Reception of the new mode PPDU starts settlingDelay microseconds after the end of the mode switch PPDU. The reception and rejection of the following frame follows the same mechanism described in 7.5.6.2. When the new mode PPDU has been received, the receiver shall return to the mode specified by phyCurrentSUNPageEntry within the SIFS or LIFS period, depending on the received frame length (see 7.5.1.3). If the transmission of an ACK is requested by the transmitter, the ACK is transmitted using the PHY mode specified by phyCurrentSUNPageEntry."
</t>
  </si>
  <si>
    <t>Accept. Resolution is the same as CID #211.</t>
  </si>
  <si>
    <t>Accept in principle. Modify the text in lines 21-23 of page 68 in D2 dradt to be as following:
"The frequency band is not changed by the PHY mode switch mechanism. The center frequency of the channel is also not changed by a PHY mode switch and channel center frequencies for the various modulation schemes are aligned as shown in Table 75f."</t>
  </si>
  <si>
    <t>Accept in principle. Caluse 5 text (doc. 15-11-0025-00) will be added.to explain the high-level function of mode switch.</t>
  </si>
  <si>
    <t xml:space="preserve">Accept in Principle. To address the commenter's concern that "the channel is unusable for a relatively long time", reduce the range of the "secondaryPreambleLength" in Table 31b from "0-255" preamble repetitions to "0-16" preamble repetitions when switching from MR-FSK to other FSK PHYs.
</t>
  </si>
  <si>
    <t>Accept in principle. What the commenter wants to accomplish can be done without a PHY mode switch mechanism. Two devices can communicate in a PHY mode longer than one packet by coordinating a change of mode whereby both devices change their values of phyCurrentSUNPageEntry. This functinoality is different from a PHY mode switch, where the value of a PHY mode switch is that a device can listen to one mode (e.g. CSM) without missing network traffic that operates at higher communication speeds. No change is needed.</t>
  </si>
  <si>
    <t>Accept in principle. The commenter has a valid concern about the small number of MR-OQPSK channels while doing mode switch. However, the mode switch is an optional mechanism to facilitate PHY mode change from the FSK PHY mode to other SUN PHY modes. Since it is optional, it is difficult to justify the mode switch mechanism to modify the definition of other SUN PHY modes. No change is needed.</t>
  </si>
  <si>
    <t xml:space="preserve">Accept in Principle.
Part of the commenter's concern is addressed by the resolution of CID 593. 
Also to address the concern "What does the receiving device do if the index sent points to an unsupported parameter (e.g., R = 4, yet the receiving device has only 3 rows in its phyModeSwitchParameterEntries array)", change the text in line 12-14 from "The Mode Switch Parameter Entry field (M1–M0) is the index of the entry in the phyModeSwitchParameterEntries array (see Table 31) that defines the mode switch parameters (see Table 31b) to be used." to "The Mode Switch Parameter Entry field (M1–M0) is the index of the entry  in the phyModeSwitchParameterEntries array (see Table 31) that defines the mode switch parameters (see Table 31b) to be used. If the Mode Switch Parameter Entry field indicates an unsupported entry in the receiver’s phyModeSwitchParameterEntries array, the receiver shall discard the frame and remain in the present PHY mode."
</t>
  </si>
  <si>
    <t>Accept in principle. Since text "This parameter is only valid if ModeSwitch = TRUE." is already in the Description of ModeSwitchParameterEntry, no change is needed.</t>
  </si>
  <si>
    <t>Accept in principle. This comment is partly resolved by comment 799. Also, change the values of SecondaryFSKPreambleLength and SecondaryFSKSFD for "FSK-&gt;O-QPSK" to be "n/a" in Table 75e (An example of mapping between phyModeSwitchParameterEntries[ ] and ModeSwitchDescriptor).</t>
  </si>
  <si>
    <t>Accept in principle. This comment is partly resolved by comment 799. Also, change the values of SecondaryFSKPreambleLength and SecondaryFSKSFD for "FSK-&gt;OFDM" to be "n/a" in Table 75e (An example of mapping between phyModeSwitchParameterEntries[ ] and ModeSwitchDescriptor).</t>
  </si>
  <si>
    <t>Accept in principle. Add the following paragraph before the last paragraph on page 68:
Devices employing the mode switch mechanism shall meet the MAC timing requirements of 7.5.1.1.1 and 7.5.1.1.2, using the symbol duration of the default PHY mode.K38</t>
  </si>
  <si>
    <t>Accept in Principle. The commenter's concern abot mode switch mechanism is partly addressed by the resolution of CID 593. The resolution to CID 593 addresses the question "what determines reception of the following frame?” In addition, the following text changes are proposed to address this comment:
In Table 31b, change the "Description" of settlingDelay from "The settling delay, in μs, between the mode switch packet and the following PPDU transmitted using the new PHY mode." to "The settling delay, in μs, between the end of the final symbol of the mode switch packet and the start of the first symbol of the following PPDU transmitted using the new PHY mode. " Also, change the range of settlingDelay from 0-255 μs to 0-510 μs.
Change the text "When changing from the current operating mode to the new mode, a settling delay, secondary preamble and/
or secondary SFD may exist. These parameters are elements of a ModeSwitchDescriptor" in line 51-52 of page 67 (D2 draft) to be as following:
When changing from the current operating mode to the new mode, a settling delay may exist. When changing from FSK to FSK, wherein the new mode is an FSK SUN PHY mode that differs from the default, the settling delay shall be in the range of zero to 100 us.  When changing from FSK to a non-FSK SUN PHY, the settling delay shall be in the range of 200 to 500 us.  The settling delay value is part of a ModeSwitchDescriptor
Add parameter "ModeSwitchPacketReceived" to the end of MCPS-DATA.indication in 7.1.1.3.1. Add the following content related to "ModeSwitchPacketReceived" to the end of Tabel 79:
ModeSwitchPacketReceived   Boolean  TRUE or FALSE  TRUE if a PHY mode switch packet is received.K36</t>
  </si>
  <si>
    <t>Accept in principle.
Define the encoding of Mode Switch Operation in 7.3a.3.2 to be as following:
Bit 2: Specify the default modulation scheme: 
         0: 2FSK, 1: 4FSK
Bit 3-5: Specify the modulation scheme for the new mode:
            The encoding of the new mode modulation scheme is the same 
            as Table 125b.
Change Bit 2-5 in Figure 103h from "Reserved" to " Mode Switch Operation"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</si>
</sst>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quot;, &quot;mmmm\ dd&quot;, &quot;yyyy"/>
    <numFmt numFmtId="165" formatCode="mm/dd/yy"/>
    <numFmt numFmtId="166" formatCode="&quot;Yes&quot;;&quot;Yes&quot;;&quot;No&quot;"/>
    <numFmt numFmtId="167" formatCode="&quot;True&quot;;&quot;True&quot;;&quot;False&quot;"/>
    <numFmt numFmtId="168" formatCode="&quot;On&quot;;&quot;On&quot;;&quot;Off&quot;"/>
    <numFmt numFmtId="169" formatCode="[$€-2]\ #,##0.00_);[Red]\([$€-2]\ #,##0.00\)"/>
    <numFmt numFmtId="170" formatCode="m/d/yy;@"/>
    <numFmt numFmtId="171" formatCode="[$-409]dddd\,\ mmmm\ dd\,\ yyyy"/>
  </numFmts>
  <fonts count="54">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1"/>
      <name val="Calibri"/>
      <family val="2"/>
    </font>
    <font>
      <i/>
      <sz val="10"/>
      <name val="Arial"/>
      <family val="2"/>
    </font>
    <font>
      <sz val="8"/>
      <name val="Arial"/>
      <family val="2"/>
    </font>
    <font>
      <b/>
      <sz val="12"/>
      <name val="Arial"/>
      <family val="2"/>
    </font>
    <font>
      <sz val="12"/>
      <name val="Arial"/>
      <family val="2"/>
    </font>
    <font>
      <i/>
      <sz val="10"/>
      <color indexed="10"/>
      <name val="Arial"/>
      <family val="2"/>
    </font>
    <font>
      <sz val="8"/>
      <name val="Tahoma"/>
      <family val="2"/>
    </font>
    <font>
      <b/>
      <sz val="8"/>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15"/>
        <bgColor indexed="64"/>
      </patternFill>
    </fill>
    <fill>
      <patternFill patternType="solid">
        <fgColor rgb="FF92D05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20">
    <xf numFmtId="0" fontId="0" fillId="0" borderId="0" xfId="0" applyAlignment="1">
      <alignment/>
    </xf>
    <xf numFmtId="0" fontId="0" fillId="0" borderId="0" xfId="57">
      <alignment/>
      <protection/>
    </xf>
    <xf numFmtId="49" fontId="1" fillId="0" borderId="0" xfId="57" applyNumberFormat="1" applyFont="1" applyAlignment="1">
      <alignment horizontal="left"/>
      <protection/>
    </xf>
    <xf numFmtId="0" fontId="2" fillId="0" borderId="0" xfId="57" applyFont="1">
      <alignment/>
      <protection/>
    </xf>
    <xf numFmtId="0" fontId="1" fillId="0" borderId="0" xfId="0" applyFont="1" applyAlignment="1">
      <alignment/>
    </xf>
    <xf numFmtId="0" fontId="3" fillId="0" borderId="0" xfId="57" applyFont="1" applyAlignment="1">
      <alignment horizontal="center"/>
      <protection/>
    </xf>
    <xf numFmtId="0" fontId="4" fillId="0" borderId="10" xfId="57" applyFont="1" applyBorder="1" applyAlignment="1">
      <alignment vertical="top" wrapText="1"/>
      <protection/>
    </xf>
    <xf numFmtId="0" fontId="4" fillId="0" borderId="11" xfId="57" applyFont="1" applyBorder="1" applyAlignment="1">
      <alignment vertical="top" wrapText="1"/>
      <protection/>
    </xf>
    <xf numFmtId="0" fontId="4" fillId="0" borderId="0" xfId="57" applyFont="1" applyAlignment="1">
      <alignment vertical="top" wrapText="1"/>
      <protection/>
    </xf>
    <xf numFmtId="0" fontId="4" fillId="0" borderId="12" xfId="57" applyFont="1" applyBorder="1" applyAlignment="1">
      <alignment vertical="top" wrapText="1"/>
      <protection/>
    </xf>
    <xf numFmtId="0" fontId="0" fillId="0" borderId="12" xfId="57" applyBorder="1" applyAlignment="1">
      <alignment vertical="top" wrapText="1"/>
      <protection/>
    </xf>
    <xf numFmtId="0" fontId="4" fillId="0" borderId="0" xfId="0" applyFont="1" applyAlignment="1">
      <alignment/>
    </xf>
    <xf numFmtId="0" fontId="4" fillId="0" borderId="0" xfId="57" applyFont="1" applyAlignment="1">
      <alignment horizontal="left"/>
      <protection/>
    </xf>
    <xf numFmtId="0" fontId="0" fillId="0" borderId="0" xfId="57" applyAlignment="1">
      <alignment wrapText="1"/>
      <protection/>
    </xf>
    <xf numFmtId="0" fontId="0" fillId="0" borderId="0" xfId="0" applyFill="1" applyAlignment="1">
      <alignment/>
    </xf>
    <xf numFmtId="0" fontId="0" fillId="0" borderId="0" xfId="0" applyFill="1" applyAlignment="1">
      <alignment horizontal="left" vertical="top" wrapText="1"/>
    </xf>
    <xf numFmtId="0" fontId="0" fillId="0" borderId="0" xfId="0" applyAlignment="1">
      <alignment horizontal="left"/>
    </xf>
    <xf numFmtId="0" fontId="0" fillId="0" borderId="0" xfId="0" applyFont="1" applyAlignment="1">
      <alignment/>
    </xf>
    <xf numFmtId="0" fontId="0" fillId="0" borderId="0" xfId="0" applyFont="1" applyFill="1" applyAlignment="1">
      <alignment/>
    </xf>
    <xf numFmtId="0" fontId="0" fillId="0" borderId="0" xfId="0" applyFill="1" applyAlignment="1">
      <alignment horizontal="left" vertical="top"/>
    </xf>
    <xf numFmtId="0" fontId="0" fillId="0" borderId="0" xfId="0" applyFont="1" applyAlignment="1">
      <alignment horizontal="left"/>
    </xf>
    <xf numFmtId="0" fontId="0" fillId="0" borderId="0" xfId="0" applyFill="1" applyAlignment="1">
      <alignment horizontal="center" vertical="top"/>
    </xf>
    <xf numFmtId="0" fontId="0" fillId="0" borderId="0" xfId="0" applyNumberFormat="1" applyFont="1" applyAlignment="1">
      <alignment/>
    </xf>
    <xf numFmtId="0" fontId="6" fillId="0" borderId="0" xfId="0" applyNumberFormat="1" applyFont="1" applyFill="1" applyBorder="1" applyAlignment="1">
      <alignment horizontal="center" vertical="center"/>
    </xf>
    <xf numFmtId="170" fontId="0" fillId="0" borderId="0" xfId="0" applyNumberFormat="1" applyFill="1" applyAlignment="1">
      <alignment/>
    </xf>
    <xf numFmtId="0" fontId="6" fillId="0" borderId="0" xfId="0" applyNumberFormat="1" applyFont="1" applyFill="1" applyAlignment="1">
      <alignment horizontal="center" vertical="center"/>
    </xf>
    <xf numFmtId="0" fontId="6" fillId="0" borderId="0" xfId="0" applyNumberFormat="1" applyFont="1" applyFill="1" applyAlignment="1">
      <alignment horizontal="center" vertical="center" wrapText="1"/>
    </xf>
    <xf numFmtId="0" fontId="6" fillId="0" borderId="0" xfId="0" applyNumberFormat="1" applyFont="1" applyFill="1" applyBorder="1" applyAlignment="1">
      <alignment horizontal="center" vertical="center" wrapText="1"/>
    </xf>
    <xf numFmtId="0" fontId="0" fillId="0" borderId="0" xfId="0" applyNumberFormat="1" applyFill="1" applyAlignment="1">
      <alignment horizontal="center" vertical="center"/>
    </xf>
    <xf numFmtId="49" fontId="6" fillId="0" borderId="0" xfId="0" applyNumberFormat="1" applyFont="1" applyFill="1" applyBorder="1" applyAlignment="1">
      <alignment horizontal="center" vertical="center"/>
    </xf>
    <xf numFmtId="0" fontId="6" fillId="0" borderId="0" xfId="0" applyFont="1" applyAlignment="1">
      <alignment/>
    </xf>
    <xf numFmtId="0" fontId="10" fillId="0" borderId="0" xfId="0" applyFont="1" applyAlignment="1">
      <alignment/>
    </xf>
    <xf numFmtId="0" fontId="11" fillId="0" borderId="0" xfId="0" applyNumberFormat="1" applyFont="1" applyAlignment="1">
      <alignment/>
    </xf>
    <xf numFmtId="0" fontId="8" fillId="0" borderId="0" xfId="0" applyFont="1" applyAlignment="1">
      <alignment/>
    </xf>
    <xf numFmtId="0" fontId="0" fillId="33" borderId="0" xfId="0" applyNumberFormat="1" applyFont="1" applyFill="1" applyAlignment="1">
      <alignment/>
    </xf>
    <xf numFmtId="0" fontId="0" fillId="34" borderId="0" xfId="0" applyNumberFormat="1" applyFont="1" applyFill="1" applyAlignment="1">
      <alignment/>
    </xf>
    <xf numFmtId="9" fontId="0" fillId="0" borderId="0" xfId="0" applyNumberFormat="1" applyFont="1" applyAlignment="1">
      <alignment/>
    </xf>
    <xf numFmtId="0" fontId="0" fillId="0" borderId="0" xfId="0" applyFont="1" applyAlignment="1">
      <alignment horizontal="left" vertical="center"/>
    </xf>
    <xf numFmtId="0" fontId="0" fillId="0" borderId="0" xfId="0" applyNumberFormat="1" applyAlignment="1">
      <alignment/>
    </xf>
    <xf numFmtId="0" fontId="0" fillId="0" borderId="0" xfId="0" applyAlignment="1">
      <alignment horizontal="center" vertical="center"/>
    </xf>
    <xf numFmtId="0" fontId="11" fillId="0" borderId="0" xfId="0" applyFont="1" applyAlignment="1">
      <alignment horizontal="left" vertical="center"/>
    </xf>
    <xf numFmtId="0" fontId="6" fillId="0" borderId="0" xfId="0" applyFont="1" applyAlignment="1">
      <alignment horizontal="left"/>
    </xf>
    <xf numFmtId="10" fontId="0" fillId="0" borderId="0" xfId="0" applyNumberFormat="1" applyAlignment="1">
      <alignment/>
    </xf>
    <xf numFmtId="0" fontId="12" fillId="0" borderId="0" xfId="0" applyFont="1" applyFill="1" applyAlignment="1">
      <alignment/>
    </xf>
    <xf numFmtId="0" fontId="0" fillId="0" borderId="0" xfId="0" applyFill="1" applyAlignment="1">
      <alignment horizontal="center"/>
    </xf>
    <xf numFmtId="0" fontId="0" fillId="0" borderId="0" xfId="0" applyFill="1" applyAlignment="1">
      <alignment horizontal="center" vertical="top" wrapText="1"/>
    </xf>
    <xf numFmtId="49" fontId="0" fillId="0" borderId="0" xfId="0" applyNumberFormat="1" applyFill="1" applyAlignment="1">
      <alignment horizontal="center" vertical="top" wrapText="1"/>
    </xf>
    <xf numFmtId="0" fontId="0" fillId="0" borderId="0" xfId="0" applyFill="1" applyAlignment="1">
      <alignment vertical="top" wrapText="1"/>
    </xf>
    <xf numFmtId="170" fontId="0" fillId="0" borderId="0" xfId="0" applyNumberFormat="1" applyFill="1" applyAlignment="1">
      <alignment horizontal="center" vertical="top" wrapText="1"/>
    </xf>
    <xf numFmtId="170" fontId="6" fillId="0" borderId="0" xfId="0" applyNumberFormat="1" applyFont="1" applyFill="1" applyBorder="1" applyAlignment="1">
      <alignment horizontal="center" vertical="top" wrapText="1"/>
    </xf>
    <xf numFmtId="170" fontId="0" fillId="0" borderId="0" xfId="0" applyNumberFormat="1" applyFill="1" applyAlignment="1">
      <alignment vertical="top" wrapText="1"/>
    </xf>
    <xf numFmtId="0" fontId="0" fillId="0" borderId="0" xfId="0" applyFont="1" applyFill="1" applyAlignment="1">
      <alignment horizontal="left" vertical="top" wrapText="1"/>
    </xf>
    <xf numFmtId="170" fontId="6" fillId="0" borderId="0" xfId="0" applyNumberFormat="1" applyFont="1" applyFill="1" applyBorder="1" applyAlignment="1">
      <alignment horizontal="center" vertical="center" wrapText="1"/>
    </xf>
    <xf numFmtId="0" fontId="0" fillId="0" borderId="0" xfId="0" applyNumberFormat="1" applyFill="1" applyAlignment="1">
      <alignment horizontal="center" vertical="top" wrapText="1"/>
    </xf>
    <xf numFmtId="170" fontId="0" fillId="0" borderId="0" xfId="0" applyNumberFormat="1" applyFill="1" applyAlignment="1">
      <alignment horizontal="center" vertical="center" wrapText="1"/>
    </xf>
    <xf numFmtId="0" fontId="0" fillId="0" borderId="0" xfId="0" applyAlignment="1">
      <alignment horizontal="center" vertical="top"/>
    </xf>
    <xf numFmtId="0" fontId="0" fillId="35" borderId="0" xfId="0" applyFill="1" applyAlignment="1">
      <alignment horizontal="center" vertical="top"/>
    </xf>
    <xf numFmtId="0" fontId="0" fillId="35" borderId="0" xfId="0" applyFill="1" applyAlignment="1">
      <alignment horizontal="left" vertical="top"/>
    </xf>
    <xf numFmtId="0" fontId="0" fillId="35" borderId="0" xfId="0" applyFill="1" applyAlignment="1">
      <alignment horizontal="left" vertical="top" wrapText="1"/>
    </xf>
    <xf numFmtId="49" fontId="0" fillId="35" borderId="0" xfId="0" applyNumberFormat="1" applyFill="1" applyAlignment="1">
      <alignment horizontal="center" vertical="top" wrapText="1"/>
    </xf>
    <xf numFmtId="170" fontId="0" fillId="35" borderId="0" xfId="0" applyNumberFormat="1" applyFill="1" applyAlignment="1">
      <alignment horizontal="center" vertical="center" wrapText="1"/>
    </xf>
    <xf numFmtId="0" fontId="0" fillId="35" borderId="0" xfId="0" applyFill="1" applyAlignment="1">
      <alignment/>
    </xf>
    <xf numFmtId="170" fontId="0" fillId="35" borderId="0" xfId="0" applyNumberFormat="1" applyFill="1" applyAlignment="1">
      <alignment/>
    </xf>
    <xf numFmtId="0" fontId="0" fillId="35" borderId="0" xfId="0" applyFill="1" applyAlignment="1">
      <alignment horizontal="center"/>
    </xf>
    <xf numFmtId="170" fontId="6" fillId="35" borderId="0" xfId="0" applyNumberFormat="1" applyFont="1" applyFill="1" applyBorder="1" applyAlignment="1">
      <alignment horizontal="center" vertical="center" wrapText="1"/>
    </xf>
    <xf numFmtId="0" fontId="0" fillId="36" borderId="0" xfId="0" applyFill="1" applyAlignment="1">
      <alignment horizontal="center" vertical="top"/>
    </xf>
    <xf numFmtId="0" fontId="0" fillId="36" borderId="0" xfId="0" applyFill="1" applyAlignment="1">
      <alignment horizontal="left" vertical="top"/>
    </xf>
    <xf numFmtId="0" fontId="0" fillId="36" borderId="0" xfId="0" applyFill="1" applyAlignment="1">
      <alignment horizontal="left" vertical="top" wrapText="1"/>
    </xf>
    <xf numFmtId="49" fontId="0" fillId="36" borderId="0" xfId="0" applyNumberFormat="1" applyFill="1" applyAlignment="1">
      <alignment horizontal="center" vertical="top" wrapText="1"/>
    </xf>
    <xf numFmtId="170" fontId="0" fillId="36" borderId="0" xfId="0" applyNumberFormat="1" applyFill="1" applyAlignment="1">
      <alignment horizontal="center" vertical="center" wrapText="1"/>
    </xf>
    <xf numFmtId="0" fontId="0" fillId="36" borderId="0" xfId="0" applyFill="1" applyAlignment="1">
      <alignment/>
    </xf>
    <xf numFmtId="170" fontId="0" fillId="36" borderId="0" xfId="0" applyNumberFormat="1" applyFill="1" applyAlignment="1">
      <alignment/>
    </xf>
    <xf numFmtId="0" fontId="0" fillId="36" borderId="0" xfId="0" applyFill="1" applyAlignment="1">
      <alignment horizontal="center"/>
    </xf>
    <xf numFmtId="170" fontId="6" fillId="36" borderId="0" xfId="0" applyNumberFormat="1" applyFont="1" applyFill="1" applyBorder="1" applyAlignment="1">
      <alignment horizontal="center" vertical="center" wrapText="1"/>
    </xf>
    <xf numFmtId="0" fontId="0" fillId="35" borderId="0" xfId="0" applyNumberFormat="1" applyFill="1" applyAlignment="1">
      <alignment horizontal="center" vertical="top"/>
    </xf>
    <xf numFmtId="0" fontId="0" fillId="35" borderId="0" xfId="0" applyFont="1" applyFill="1" applyAlignment="1">
      <alignment horizontal="left" vertical="top" wrapText="1"/>
    </xf>
    <xf numFmtId="0" fontId="0" fillId="35" borderId="0" xfId="0" applyFont="1" applyFill="1" applyAlignment="1">
      <alignment horizontal="left" vertical="top"/>
    </xf>
    <xf numFmtId="0" fontId="0" fillId="35" borderId="0" xfId="0" applyFont="1" applyFill="1" applyAlignment="1">
      <alignment horizontal="center" vertical="top"/>
    </xf>
    <xf numFmtId="49" fontId="0" fillId="35" borderId="0" xfId="0" applyNumberFormat="1" applyFont="1" applyFill="1" applyAlignment="1">
      <alignment horizontal="center" vertical="top" wrapText="1"/>
    </xf>
    <xf numFmtId="170" fontId="0" fillId="35" borderId="0" xfId="0" applyNumberFormat="1" applyFont="1" applyFill="1" applyAlignment="1">
      <alignment horizontal="center" vertical="center" wrapText="1"/>
    </xf>
    <xf numFmtId="0" fontId="0" fillId="35" borderId="0" xfId="0" applyFont="1" applyFill="1" applyAlignment="1">
      <alignment horizontal="center" vertical="top" wrapText="1"/>
    </xf>
    <xf numFmtId="0" fontId="0" fillId="35" borderId="0" xfId="0" applyFont="1" applyFill="1" applyAlignment="1">
      <alignment/>
    </xf>
    <xf numFmtId="170" fontId="0" fillId="35" borderId="0" xfId="0" applyNumberFormat="1" applyFont="1" applyFill="1" applyAlignment="1">
      <alignment/>
    </xf>
    <xf numFmtId="0" fontId="0" fillId="35" borderId="0" xfId="0" applyFill="1" applyAlignment="1">
      <alignment horizontal="center" vertical="top" wrapText="1"/>
    </xf>
    <xf numFmtId="0" fontId="0" fillId="35" borderId="0" xfId="0" applyFill="1" applyAlignment="1">
      <alignment vertical="top" wrapText="1"/>
    </xf>
    <xf numFmtId="170" fontId="0" fillId="35" borderId="0" xfId="0" applyNumberFormat="1" applyFill="1" applyAlignment="1">
      <alignment vertical="top" wrapText="1"/>
    </xf>
    <xf numFmtId="170" fontId="0" fillId="35" borderId="0" xfId="0" applyNumberFormat="1" applyFill="1" applyAlignment="1">
      <alignment horizontal="center" vertical="top" wrapText="1"/>
    </xf>
    <xf numFmtId="170" fontId="6" fillId="35" borderId="0" xfId="0" applyNumberFormat="1" applyFont="1" applyFill="1" applyBorder="1" applyAlignment="1">
      <alignment horizontal="center" vertical="top" wrapText="1"/>
    </xf>
    <xf numFmtId="0" fontId="7" fillId="35" borderId="0" xfId="0" applyFont="1" applyFill="1" applyAlignment="1">
      <alignment vertical="top" wrapText="1"/>
    </xf>
    <xf numFmtId="0" fontId="0" fillId="35" borderId="0" xfId="0" applyNumberFormat="1" applyFill="1" applyAlignment="1">
      <alignment horizontal="left" vertical="top" wrapText="1"/>
    </xf>
    <xf numFmtId="49" fontId="0" fillId="35" borderId="0" xfId="0" applyNumberFormat="1" applyFill="1" applyAlignment="1">
      <alignment horizontal="left" vertical="top" wrapText="1"/>
    </xf>
    <xf numFmtId="0" fontId="7" fillId="35" borderId="0" xfId="0" applyFont="1" applyFill="1" applyAlignment="1">
      <alignment vertical="top"/>
    </xf>
    <xf numFmtId="170" fontId="0" fillId="35" borderId="0" xfId="0" applyNumberFormat="1" applyFont="1" applyFill="1" applyAlignment="1">
      <alignment vertical="top" wrapText="1"/>
    </xf>
    <xf numFmtId="0" fontId="0" fillId="35" borderId="0" xfId="0" applyFont="1" applyFill="1" applyAlignment="1">
      <alignment vertical="top" wrapText="1"/>
    </xf>
    <xf numFmtId="0" fontId="0" fillId="36" borderId="0" xfId="0" applyFont="1" applyFill="1" applyAlignment="1">
      <alignment horizontal="left" vertical="top" wrapText="1"/>
    </xf>
    <xf numFmtId="0" fontId="0" fillId="36" borderId="0" xfId="0" applyFill="1" applyAlignment="1">
      <alignment horizontal="center" vertical="top" wrapText="1"/>
    </xf>
    <xf numFmtId="0" fontId="0" fillId="36" borderId="0" xfId="0" applyFill="1" applyAlignment="1">
      <alignment vertical="top" wrapText="1"/>
    </xf>
    <xf numFmtId="170" fontId="0" fillId="36" borderId="0" xfId="0" applyNumberFormat="1" applyFill="1" applyAlignment="1">
      <alignment vertical="top" wrapText="1"/>
    </xf>
    <xf numFmtId="170" fontId="0" fillId="36" borderId="0" xfId="0" applyNumberFormat="1" applyFill="1" applyAlignment="1">
      <alignment horizontal="center" vertical="top" wrapText="1"/>
    </xf>
    <xf numFmtId="170" fontId="6" fillId="36" borderId="0" xfId="0" applyNumberFormat="1" applyFont="1" applyFill="1" applyBorder="1" applyAlignment="1">
      <alignment horizontal="center" vertical="top" wrapText="1"/>
    </xf>
    <xf numFmtId="0" fontId="0" fillId="35" borderId="0" xfId="0" applyFont="1" applyFill="1" applyAlignment="1">
      <alignment horizontal="left" vertical="top" wrapText="1"/>
    </xf>
    <xf numFmtId="49" fontId="0" fillId="35" borderId="0" xfId="0" applyNumberFormat="1" applyFill="1" applyAlignment="1">
      <alignment horizontal="center" vertical="top"/>
    </xf>
    <xf numFmtId="49" fontId="0" fillId="36" borderId="0" xfId="0" applyNumberFormat="1" applyFill="1" applyAlignment="1">
      <alignment horizontal="center" vertical="top"/>
    </xf>
    <xf numFmtId="0" fontId="0" fillId="36" borderId="0" xfId="0" applyNumberFormat="1" applyFill="1" applyAlignment="1">
      <alignment horizontal="left" vertical="top" wrapText="1"/>
    </xf>
    <xf numFmtId="49" fontId="0" fillId="36" borderId="0" xfId="0" applyNumberFormat="1" applyFill="1" applyAlignment="1">
      <alignment horizontal="left" vertical="top" wrapText="1"/>
    </xf>
    <xf numFmtId="49" fontId="0" fillId="36" borderId="0" xfId="0" applyNumberFormat="1" applyFont="1" applyFill="1" applyAlignment="1">
      <alignment horizontal="left" vertical="top" wrapText="1"/>
    </xf>
    <xf numFmtId="0" fontId="0" fillId="36" borderId="0" xfId="0" applyFont="1" applyFill="1" applyAlignment="1">
      <alignment horizontal="center" vertical="top"/>
    </xf>
    <xf numFmtId="0" fontId="7" fillId="36" borderId="0" xfId="0" applyFont="1" applyFill="1" applyAlignment="1">
      <alignment vertical="top"/>
    </xf>
    <xf numFmtId="0" fontId="0" fillId="0" borderId="0" xfId="0" applyAlignment="1">
      <alignment horizontal="left" vertical="top" wrapText="1"/>
    </xf>
    <xf numFmtId="0" fontId="0" fillId="0" borderId="0" xfId="0" applyAlignment="1">
      <alignment horizontal="center" vertical="top" wrapText="1"/>
    </xf>
    <xf numFmtId="49" fontId="0" fillId="0" borderId="0" xfId="0" applyNumberFormat="1" applyAlignment="1">
      <alignment horizontal="center" vertical="top" wrapText="1"/>
    </xf>
    <xf numFmtId="170" fontId="0" fillId="0" borderId="0" xfId="0" applyNumberFormat="1" applyAlignment="1">
      <alignment horizontal="center" vertical="top" wrapText="1"/>
    </xf>
    <xf numFmtId="0" fontId="0" fillId="0" borderId="0" xfId="0" applyNumberFormat="1" applyAlignment="1">
      <alignment horizontal="left" vertical="top" wrapText="1"/>
    </xf>
    <xf numFmtId="49" fontId="0" fillId="0" borderId="0" xfId="0" applyNumberFormat="1" applyAlignment="1">
      <alignment horizontal="left" vertical="top" wrapText="1"/>
    </xf>
    <xf numFmtId="0" fontId="0" fillId="0" borderId="0" xfId="0" applyFont="1" applyAlignment="1">
      <alignment horizontal="center" vertical="top" wrapText="1"/>
    </xf>
    <xf numFmtId="0" fontId="7" fillId="0" borderId="0" xfId="0" applyFont="1" applyAlignment="1">
      <alignment vertical="top" wrapText="1"/>
    </xf>
    <xf numFmtId="0" fontId="4" fillId="0" borderId="11" xfId="57" applyFont="1" applyBorder="1" applyAlignment="1">
      <alignment vertical="top" wrapText="1"/>
      <protection/>
    </xf>
    <xf numFmtId="0" fontId="5" fillId="0" borderId="12" xfId="57" applyFont="1" applyBorder="1" applyAlignment="1">
      <alignment vertical="top" wrapText="1"/>
      <protection/>
    </xf>
    <xf numFmtId="0" fontId="3" fillId="0" borderId="11" xfId="57" applyFont="1" applyBorder="1" applyAlignment="1">
      <alignment vertical="top" wrapText="1"/>
      <protection/>
    </xf>
    <xf numFmtId="164" fontId="4" fillId="0" borderId="11" xfId="57" applyNumberFormat="1" applyFont="1" applyBorder="1" applyAlignment="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font>
        <color rgb="FF0070C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D19"/>
  <sheetViews>
    <sheetView zoomScalePageLayoutView="0" workbookViewId="0" topLeftCell="A1">
      <selection activeCell="G13" sqref="G13"/>
    </sheetView>
  </sheetViews>
  <sheetFormatPr defaultColWidth="9.140625" defaultRowHeight="12.75"/>
  <cols>
    <col min="1" max="1" width="9.140625" style="1" customWidth="1"/>
    <col min="2" max="2" width="15.421875" style="1" customWidth="1"/>
    <col min="3" max="3" width="38.28125" style="1" customWidth="1"/>
    <col min="4" max="4" width="43.7109375" style="1" customWidth="1"/>
    <col min="5" max="16384" width="9.140625" style="1" customWidth="1"/>
  </cols>
  <sheetData>
    <row r="1" spans="2:4" ht="26.25">
      <c r="B1" s="2" t="s">
        <v>201</v>
      </c>
      <c r="C1" s="3"/>
      <c r="D1" s="4" t="s">
        <v>53</v>
      </c>
    </row>
    <row r="3" ht="18.75">
      <c r="C3" s="5" t="s">
        <v>99</v>
      </c>
    </row>
    <row r="4" ht="18.75">
      <c r="C4" s="5" t="s">
        <v>100</v>
      </c>
    </row>
    <row r="5" ht="18.75">
      <c r="B5" s="5"/>
    </row>
    <row r="6" spans="2:4" ht="15.75" customHeight="1">
      <c r="B6" s="6" t="s">
        <v>101</v>
      </c>
      <c r="C6" s="116" t="s">
        <v>102</v>
      </c>
      <c r="D6" s="116"/>
    </row>
    <row r="7" spans="2:4" ht="18.75" customHeight="1">
      <c r="B7" s="6" t="s">
        <v>103</v>
      </c>
      <c r="C7" s="118" t="s">
        <v>104</v>
      </c>
      <c r="D7" s="118"/>
    </row>
    <row r="8" spans="2:4" ht="15.75" customHeight="1">
      <c r="B8" s="6" t="s">
        <v>105</v>
      </c>
      <c r="C8" s="119" t="s">
        <v>184</v>
      </c>
      <c r="D8" s="119"/>
    </row>
    <row r="9" spans="2:4" ht="14.25" customHeight="1">
      <c r="B9" s="116" t="s">
        <v>106</v>
      </c>
      <c r="C9" s="6" t="s">
        <v>45</v>
      </c>
      <c r="D9" s="6"/>
    </row>
    <row r="10" spans="2:4" ht="15.75">
      <c r="B10" s="116"/>
      <c r="C10" s="8" t="s">
        <v>140</v>
      </c>
      <c r="D10" s="8"/>
    </row>
    <row r="11" spans="2:4" ht="15.75">
      <c r="B11" s="116"/>
      <c r="C11" s="8"/>
      <c r="D11" s="8" t="s">
        <v>185</v>
      </c>
    </row>
    <row r="12" spans="2:4" ht="15.75">
      <c r="B12" s="116"/>
      <c r="C12" s="9"/>
      <c r="D12" s="10"/>
    </row>
    <row r="13" spans="2:4" ht="14.25" customHeight="1">
      <c r="B13" s="116" t="s">
        <v>107</v>
      </c>
      <c r="C13" s="11" t="s">
        <v>186</v>
      </c>
      <c r="D13" s="6"/>
    </row>
    <row r="14" spans="2:4" ht="15.75" customHeight="1">
      <c r="B14" s="116"/>
      <c r="C14" s="117"/>
      <c r="D14" s="117"/>
    </row>
    <row r="15" spans="2:3" ht="15.75">
      <c r="B15" s="116"/>
      <c r="C15" s="12"/>
    </row>
    <row r="16" spans="2:4" ht="15.75" customHeight="1">
      <c r="B16" s="6" t="s">
        <v>108</v>
      </c>
      <c r="C16" s="116" t="s">
        <v>187</v>
      </c>
      <c r="D16" s="116"/>
    </row>
    <row r="17" spans="2:4" s="13" customFormat="1" ht="20.25" customHeight="1">
      <c r="B17" s="6" t="s">
        <v>109</v>
      </c>
      <c r="C17" s="116" t="s">
        <v>188</v>
      </c>
      <c r="D17" s="116"/>
    </row>
    <row r="18" spans="2:4" s="13" customFormat="1" ht="84" customHeight="1">
      <c r="B18" s="7" t="s">
        <v>110</v>
      </c>
      <c r="C18" s="116" t="s">
        <v>111</v>
      </c>
      <c r="D18" s="116"/>
    </row>
    <row r="19" spans="2:4" s="13" customFormat="1" ht="36.75" customHeight="1">
      <c r="B19" s="9" t="s">
        <v>112</v>
      </c>
      <c r="C19" s="116" t="s">
        <v>113</v>
      </c>
      <c r="D19" s="116"/>
    </row>
  </sheetData>
  <sheetProtection selectLockedCells="1" selectUnlockedCells="1"/>
  <mergeCells count="10">
    <mergeCell ref="B9:B12"/>
    <mergeCell ref="B13:B15"/>
    <mergeCell ref="C14:D14"/>
    <mergeCell ref="C16:D16"/>
    <mergeCell ref="C19:D19"/>
    <mergeCell ref="C6:D6"/>
    <mergeCell ref="C7:D7"/>
    <mergeCell ref="C8:D8"/>
    <mergeCell ref="C17:D17"/>
    <mergeCell ref="C18:D18"/>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X60"/>
  <sheetViews>
    <sheetView tabSelected="1" zoomScale="110" zoomScaleNormal="110" zoomScalePageLayoutView="0" workbookViewId="0" topLeftCell="A1">
      <pane xSplit="2" ySplit="1" topLeftCell="G56" activePane="bottomRight" state="frozen"/>
      <selection pane="topLeft" activeCell="A1" sqref="A1"/>
      <selection pane="topRight" activeCell="B1" sqref="B1"/>
      <selection pane="bottomLeft" activeCell="A2" sqref="A2"/>
      <selection pane="bottomRight" activeCell="K57" sqref="K57"/>
    </sheetView>
  </sheetViews>
  <sheetFormatPr defaultColWidth="8.8515625" defaultRowHeight="12.75"/>
  <cols>
    <col min="1" max="1" width="6.7109375" style="21" customWidth="1"/>
    <col min="2" max="2" width="14.28125" style="19" customWidth="1"/>
    <col min="3" max="3" width="20.7109375" style="19" customWidth="1"/>
    <col min="4" max="4" width="9.140625" style="21" customWidth="1"/>
    <col min="5" max="5" width="10.421875" style="21" customWidth="1"/>
    <col min="6" max="6" width="9.140625" style="21" customWidth="1"/>
    <col min="7" max="7" width="6.140625" style="21" customWidth="1"/>
    <col min="8" max="8" width="6.57421875" style="21" customWidth="1"/>
    <col min="9" max="9" width="25.7109375" style="15" customWidth="1"/>
    <col min="10" max="10" width="22.7109375" style="15" customWidth="1"/>
    <col min="11" max="11" width="61.421875" style="15" customWidth="1"/>
    <col min="12" max="12" width="20.7109375" style="46" bestFit="1" customWidth="1"/>
    <col min="13" max="13" width="12.7109375" style="54" customWidth="1"/>
    <col min="14" max="14" width="12.7109375" style="15" customWidth="1"/>
    <col min="15" max="15" width="18.00390625" style="21" customWidth="1"/>
    <col min="16" max="16" width="14.7109375" style="14" customWidth="1"/>
    <col min="17" max="17" width="20.7109375" style="24" customWidth="1"/>
    <col min="18" max="18" width="20.7109375" style="14" customWidth="1"/>
    <col min="19" max="20" width="10.7109375" style="44" customWidth="1"/>
    <col min="21" max="21" width="12.7109375" style="24" customWidth="1"/>
    <col min="22" max="22" width="15.7109375" style="14" customWidth="1"/>
    <col min="23" max="23" width="8.7109375" style="14" customWidth="1"/>
    <col min="24" max="16384" width="8.8515625" style="14" customWidth="1"/>
  </cols>
  <sheetData>
    <row r="1" spans="1:23" s="28" customFormat="1" ht="39" customHeight="1">
      <c r="A1" s="23" t="s">
        <v>218</v>
      </c>
      <c r="B1" s="25" t="s">
        <v>114</v>
      </c>
      <c r="C1" s="25" t="s">
        <v>115</v>
      </c>
      <c r="D1" s="25" t="s">
        <v>116</v>
      </c>
      <c r="E1" s="25" t="s">
        <v>117</v>
      </c>
      <c r="F1" s="25" t="s">
        <v>118</v>
      </c>
      <c r="G1" s="25" t="s">
        <v>119</v>
      </c>
      <c r="H1" s="25" t="s">
        <v>120</v>
      </c>
      <c r="I1" s="26" t="s">
        <v>121</v>
      </c>
      <c r="J1" s="26" t="s">
        <v>122</v>
      </c>
      <c r="K1" s="26" t="s">
        <v>214</v>
      </c>
      <c r="L1" s="29" t="s">
        <v>215</v>
      </c>
      <c r="M1" s="27" t="s">
        <v>216</v>
      </c>
      <c r="N1" s="23" t="s">
        <v>217</v>
      </c>
      <c r="O1" s="26" t="s">
        <v>123</v>
      </c>
      <c r="P1" s="27" t="s">
        <v>219</v>
      </c>
      <c r="Q1" s="27" t="s">
        <v>220</v>
      </c>
      <c r="R1" s="27" t="s">
        <v>221</v>
      </c>
      <c r="S1" s="27" t="s">
        <v>222</v>
      </c>
      <c r="T1" s="27" t="s">
        <v>223</v>
      </c>
      <c r="U1" s="27" t="s">
        <v>224</v>
      </c>
      <c r="V1" s="27" t="s">
        <v>225</v>
      </c>
      <c r="W1" s="27" t="s">
        <v>226</v>
      </c>
    </row>
    <row r="2" spans="1:22" s="61" customFormat="1" ht="153">
      <c r="A2" s="56">
        <v>478</v>
      </c>
      <c r="B2" s="57" t="s">
        <v>36</v>
      </c>
      <c r="C2" s="57" t="s">
        <v>37</v>
      </c>
      <c r="D2" s="56" t="s">
        <v>65</v>
      </c>
      <c r="E2" s="56">
        <v>6</v>
      </c>
      <c r="F2" s="56" t="s">
        <v>134</v>
      </c>
      <c r="G2" s="56">
        <v>16</v>
      </c>
      <c r="H2" s="56">
        <v>15</v>
      </c>
      <c r="I2" s="58" t="s">
        <v>38</v>
      </c>
      <c r="J2" s="58" t="s">
        <v>39</v>
      </c>
      <c r="K2" s="58" t="s">
        <v>301</v>
      </c>
      <c r="L2" s="59" t="s">
        <v>274</v>
      </c>
      <c r="M2" s="60">
        <v>40493</v>
      </c>
      <c r="N2" s="58" t="s">
        <v>149</v>
      </c>
      <c r="O2" s="56" t="s">
        <v>91</v>
      </c>
      <c r="Q2" s="62"/>
      <c r="S2" s="63">
        <f aca="true" t="shared" si="0" ref="S2:S55">IF(D2="E",L2,"")</f>
      </c>
      <c r="T2" s="63" t="str">
        <f aca="true" t="shared" si="1" ref="T2:T55">IF(OR(D2="T",D2="G"),L2,"")</f>
        <v>AP</v>
      </c>
      <c r="U2" s="62"/>
      <c r="V2" s="64">
        <f aca="true" t="shared" si="2" ref="V2:V55">IF(OR(T2="rdy2vote",T2="wp"),P2,"")</f>
      </c>
    </row>
    <row r="3" spans="1:22" s="61" customFormat="1" ht="63.75">
      <c r="A3" s="56">
        <v>409</v>
      </c>
      <c r="B3" s="57" t="s">
        <v>92</v>
      </c>
      <c r="C3" s="57" t="s">
        <v>93</v>
      </c>
      <c r="D3" s="56" t="s">
        <v>125</v>
      </c>
      <c r="E3" s="56">
        <v>6</v>
      </c>
      <c r="F3" s="56" t="s">
        <v>89</v>
      </c>
      <c r="G3" s="56">
        <v>19</v>
      </c>
      <c r="H3" s="74">
        <v>37</v>
      </c>
      <c r="I3" s="58" t="s">
        <v>95</v>
      </c>
      <c r="J3" s="58" t="s">
        <v>96</v>
      </c>
      <c r="K3" s="75" t="s">
        <v>191</v>
      </c>
      <c r="L3" s="59" t="s">
        <v>274</v>
      </c>
      <c r="M3" s="60">
        <v>40493</v>
      </c>
      <c r="N3" s="58" t="s">
        <v>149</v>
      </c>
      <c r="O3" s="56" t="s">
        <v>129</v>
      </c>
      <c r="Q3" s="62"/>
      <c r="S3" s="63">
        <f t="shared" si="0"/>
      </c>
      <c r="T3" s="63" t="str">
        <f t="shared" si="1"/>
        <v>AP</v>
      </c>
      <c r="U3" s="62"/>
      <c r="V3" s="64">
        <f t="shared" si="2"/>
      </c>
    </row>
    <row r="4" spans="1:22" s="70" customFormat="1" ht="127.5">
      <c r="A4" s="65">
        <v>38</v>
      </c>
      <c r="B4" s="66" t="s">
        <v>132</v>
      </c>
      <c r="C4" s="66" t="s">
        <v>133</v>
      </c>
      <c r="D4" s="65" t="s">
        <v>125</v>
      </c>
      <c r="E4" s="65">
        <v>6</v>
      </c>
      <c r="F4" s="65" t="s">
        <v>136</v>
      </c>
      <c r="G4" s="65">
        <v>32</v>
      </c>
      <c r="H4" s="65">
        <v>15</v>
      </c>
      <c r="I4" s="67" t="s">
        <v>137</v>
      </c>
      <c r="J4" s="67" t="s">
        <v>138</v>
      </c>
      <c r="K4" s="67" t="s">
        <v>340</v>
      </c>
      <c r="L4" s="68" t="s">
        <v>274</v>
      </c>
      <c r="M4" s="69">
        <v>40493</v>
      </c>
      <c r="N4" s="67" t="s">
        <v>149</v>
      </c>
      <c r="O4" s="65" t="s">
        <v>129</v>
      </c>
      <c r="Q4" s="71"/>
      <c r="S4" s="72">
        <f t="shared" si="0"/>
      </c>
      <c r="T4" s="72" t="str">
        <f t="shared" si="1"/>
        <v>AP</v>
      </c>
      <c r="U4" s="71"/>
      <c r="V4" s="73">
        <f t="shared" si="2"/>
      </c>
    </row>
    <row r="5" spans="1:22" s="61" customFormat="1" ht="102">
      <c r="A5" s="56">
        <v>116</v>
      </c>
      <c r="B5" s="57" t="s">
        <v>197</v>
      </c>
      <c r="C5" s="57" t="s">
        <v>144</v>
      </c>
      <c r="D5" s="56" t="s">
        <v>126</v>
      </c>
      <c r="E5" s="56">
        <v>6</v>
      </c>
      <c r="F5" s="56">
        <v>2</v>
      </c>
      <c r="G5" s="56">
        <v>32</v>
      </c>
      <c r="H5" s="56">
        <v>15</v>
      </c>
      <c r="I5" s="58" t="s">
        <v>145</v>
      </c>
      <c r="J5" s="58" t="s">
        <v>146</v>
      </c>
      <c r="K5" s="75" t="s">
        <v>275</v>
      </c>
      <c r="L5" s="59" t="s">
        <v>274</v>
      </c>
      <c r="M5" s="60">
        <v>40493</v>
      </c>
      <c r="N5" s="58" t="s">
        <v>149</v>
      </c>
      <c r="O5" s="56" t="s">
        <v>129</v>
      </c>
      <c r="Q5" s="62"/>
      <c r="S5" s="63" t="str">
        <f t="shared" si="0"/>
        <v>AP</v>
      </c>
      <c r="T5" s="63">
        <f t="shared" si="1"/>
      </c>
      <c r="U5" s="62"/>
      <c r="V5" s="64">
        <f t="shared" si="2"/>
      </c>
    </row>
    <row r="6" spans="1:24" s="84" customFormat="1" ht="127.5">
      <c r="A6" s="83">
        <v>780</v>
      </c>
      <c r="B6" s="58" t="s">
        <v>18</v>
      </c>
      <c r="C6" s="58" t="s">
        <v>68</v>
      </c>
      <c r="D6" s="83" t="s">
        <v>125</v>
      </c>
      <c r="E6" s="83">
        <v>6</v>
      </c>
      <c r="F6" s="83" t="s">
        <v>135</v>
      </c>
      <c r="G6" s="83">
        <v>32</v>
      </c>
      <c r="H6" s="83">
        <v>17</v>
      </c>
      <c r="I6" s="58" t="s">
        <v>170</v>
      </c>
      <c r="J6" s="58" t="s">
        <v>171</v>
      </c>
      <c r="K6" s="58" t="s">
        <v>303</v>
      </c>
      <c r="L6" s="59" t="s">
        <v>274</v>
      </c>
      <c r="M6" s="60">
        <v>40493</v>
      </c>
      <c r="N6" s="58" t="s">
        <v>149</v>
      </c>
      <c r="O6" s="83" t="s">
        <v>66</v>
      </c>
      <c r="P6" s="84" t="s">
        <v>150</v>
      </c>
      <c r="Q6" s="85"/>
      <c r="S6" s="83">
        <f>IF(D6="E",L6,"")</f>
      </c>
      <c r="T6" s="83" t="str">
        <f>IF(OR(D6="T",D6="G"),L6,"")</f>
        <v>AP</v>
      </c>
      <c r="U6" s="83" t="e">
        <f>IF(OR(T6="A",T6="AP",T6="R",T6="Z"),#REF!,"")</f>
        <v>#REF!</v>
      </c>
      <c r="V6" s="83">
        <f>IF(OR(T6=0,T6="wp"),#REF!,"")</f>
      </c>
      <c r="W6" s="86">
        <v>40492</v>
      </c>
      <c r="X6" s="87">
        <f>IF(OR(T6="rdy2vote",T6="wp"),P6,"")</f>
      </c>
    </row>
    <row r="7" spans="1:24" s="84" customFormat="1" ht="63.75">
      <c r="A7" s="83">
        <v>781</v>
      </c>
      <c r="B7" s="58" t="s">
        <v>18</v>
      </c>
      <c r="C7" s="58" t="s">
        <v>68</v>
      </c>
      <c r="D7" s="83" t="s">
        <v>125</v>
      </c>
      <c r="E7" s="83">
        <v>6</v>
      </c>
      <c r="F7" s="83" t="s">
        <v>135</v>
      </c>
      <c r="G7" s="83">
        <v>32</v>
      </c>
      <c r="H7" s="83">
        <v>21</v>
      </c>
      <c r="I7" s="58" t="s">
        <v>172</v>
      </c>
      <c r="J7" s="58" t="s">
        <v>173</v>
      </c>
      <c r="K7" s="58" t="s">
        <v>182</v>
      </c>
      <c r="L7" s="59" t="s">
        <v>274</v>
      </c>
      <c r="M7" s="60">
        <v>40493</v>
      </c>
      <c r="N7" s="58" t="s">
        <v>149</v>
      </c>
      <c r="O7" s="83" t="s">
        <v>66</v>
      </c>
      <c r="P7" s="84" t="s">
        <v>150</v>
      </c>
      <c r="Q7" s="85"/>
      <c r="S7" s="83">
        <f>IF(D7="E",L7,"")</f>
      </c>
      <c r="T7" s="83" t="str">
        <f>IF(OR(D7="T",D7="G"),L7,"")</f>
        <v>AP</v>
      </c>
      <c r="U7" s="83" t="e">
        <f>IF(OR(T7="A",T7="AP",T7="R",T7="Z"),#REF!,"")</f>
        <v>#REF!</v>
      </c>
      <c r="V7" s="83">
        <f>IF(OR(T7=0,T7="wp"),#REF!,"")</f>
      </c>
      <c r="W7" s="86">
        <v>40492</v>
      </c>
      <c r="X7" s="87">
        <f>IF(OR(T7="rdy2vote",T7="wp"),P7,"")</f>
      </c>
    </row>
    <row r="8" spans="1:24" s="84" customFormat="1" ht="38.25">
      <c r="A8" s="83">
        <v>691</v>
      </c>
      <c r="B8" s="58" t="s">
        <v>202</v>
      </c>
      <c r="C8" s="58" t="s">
        <v>72</v>
      </c>
      <c r="D8" s="83" t="s">
        <v>125</v>
      </c>
      <c r="E8" s="80">
        <v>6</v>
      </c>
      <c r="F8" s="80" t="s">
        <v>163</v>
      </c>
      <c r="G8" s="80">
        <v>32</v>
      </c>
      <c r="H8" s="88"/>
      <c r="I8" s="89" t="s">
        <v>164</v>
      </c>
      <c r="J8" s="90" t="s">
        <v>165</v>
      </c>
      <c r="K8" s="90" t="s">
        <v>304</v>
      </c>
      <c r="L8" s="59" t="s">
        <v>274</v>
      </c>
      <c r="M8" s="60">
        <v>40493</v>
      </c>
      <c r="N8" s="58" t="s">
        <v>149</v>
      </c>
      <c r="O8" s="83" t="s">
        <v>129</v>
      </c>
      <c r="P8" s="84" t="s">
        <v>150</v>
      </c>
      <c r="Q8" s="85"/>
      <c r="S8" s="83">
        <f>IF(D8="E",L8,"")</f>
      </c>
      <c r="T8" s="83" t="str">
        <f>IF(OR(D8="T",D8="G"),L8,"")</f>
        <v>AP</v>
      </c>
      <c r="U8" s="83" t="e">
        <f>IF(OR(T8="A",T8="AP",T8="R",T8="Z"),#REF!,"")</f>
        <v>#REF!</v>
      </c>
      <c r="V8" s="83">
        <f>IF(OR(T8=0,T8="wp"),#REF!,"")</f>
      </c>
      <c r="W8" s="86">
        <v>40492</v>
      </c>
      <c r="X8" s="87">
        <f>IF(OR(T8="rdy2vote",T8="wp"),P8,"")</f>
      </c>
    </row>
    <row r="9" spans="1:24" s="84" customFormat="1" ht="63.75">
      <c r="A9" s="83">
        <v>692</v>
      </c>
      <c r="B9" s="58" t="s">
        <v>202</v>
      </c>
      <c r="C9" s="58" t="s">
        <v>72</v>
      </c>
      <c r="D9" s="83" t="s">
        <v>125</v>
      </c>
      <c r="E9" s="80">
        <v>6</v>
      </c>
      <c r="F9" s="80" t="s">
        <v>163</v>
      </c>
      <c r="G9" s="80">
        <v>32</v>
      </c>
      <c r="H9" s="88"/>
      <c r="I9" s="89" t="s">
        <v>166</v>
      </c>
      <c r="J9" s="90" t="s">
        <v>165</v>
      </c>
      <c r="K9" s="90" t="s">
        <v>305</v>
      </c>
      <c r="L9" s="59" t="s">
        <v>274</v>
      </c>
      <c r="M9" s="60">
        <v>40493</v>
      </c>
      <c r="N9" s="58" t="s">
        <v>149</v>
      </c>
      <c r="O9" s="83" t="s">
        <v>129</v>
      </c>
      <c r="P9" s="84" t="s">
        <v>150</v>
      </c>
      <c r="Q9" s="85"/>
      <c r="S9" s="83">
        <f>IF(D9="E",L9,"")</f>
      </c>
      <c r="T9" s="83" t="str">
        <f>IF(OR(D9="T",D9="G"),L9,"")</f>
        <v>AP</v>
      </c>
      <c r="U9" s="83" t="e">
        <f>IF(OR(T9="A",T9="AP",T9="R",T9="Z"),#REF!,"")</f>
        <v>#REF!</v>
      </c>
      <c r="V9" s="83">
        <f>IF(OR(T9=0,T9="wp"),#REF!,"")</f>
      </c>
      <c r="W9" s="86">
        <v>40492</v>
      </c>
      <c r="X9" s="87">
        <f>IF(OR(T9="rdy2vote",T9="wp"),P9,"")</f>
      </c>
    </row>
    <row r="10" spans="1:23" s="61" customFormat="1" ht="229.5">
      <c r="A10" s="56">
        <v>64</v>
      </c>
      <c r="B10" s="76" t="s">
        <v>139</v>
      </c>
      <c r="C10" s="76" t="s">
        <v>140</v>
      </c>
      <c r="D10" s="77" t="s">
        <v>125</v>
      </c>
      <c r="E10" s="77">
        <v>6</v>
      </c>
      <c r="F10" s="77" t="s">
        <v>141</v>
      </c>
      <c r="G10" s="77">
        <v>32</v>
      </c>
      <c r="H10" s="77">
        <v>27</v>
      </c>
      <c r="I10" s="75" t="s">
        <v>142</v>
      </c>
      <c r="J10" s="75" t="s">
        <v>143</v>
      </c>
      <c r="K10" s="58" t="s">
        <v>306</v>
      </c>
      <c r="L10" s="78" t="s">
        <v>274</v>
      </c>
      <c r="M10" s="79">
        <v>40493</v>
      </c>
      <c r="N10" s="58" t="s">
        <v>149</v>
      </c>
      <c r="O10" s="80"/>
      <c r="P10" s="81"/>
      <c r="Q10" s="82"/>
      <c r="R10" s="81"/>
      <c r="S10" s="63">
        <f t="shared" si="0"/>
      </c>
      <c r="T10" s="63" t="str">
        <f t="shared" si="1"/>
        <v>AP</v>
      </c>
      <c r="U10" s="82"/>
      <c r="V10" s="64">
        <f t="shared" si="2"/>
      </c>
      <c r="W10" s="81"/>
    </row>
    <row r="11" spans="1:22" s="61" customFormat="1" ht="195.75" customHeight="1">
      <c r="A11" s="56">
        <v>789</v>
      </c>
      <c r="B11" s="57" t="s">
        <v>18</v>
      </c>
      <c r="C11" s="57" t="s">
        <v>68</v>
      </c>
      <c r="D11" s="56" t="s">
        <v>125</v>
      </c>
      <c r="E11" s="56">
        <v>6</v>
      </c>
      <c r="F11" s="56" t="s">
        <v>135</v>
      </c>
      <c r="G11" s="56">
        <v>32</v>
      </c>
      <c r="H11" s="56">
        <v>50</v>
      </c>
      <c r="I11" s="58" t="s">
        <v>21</v>
      </c>
      <c r="J11" s="58" t="s">
        <v>20</v>
      </c>
      <c r="K11" s="58" t="s">
        <v>308</v>
      </c>
      <c r="L11" s="59" t="s">
        <v>274</v>
      </c>
      <c r="M11" s="60">
        <v>40493</v>
      </c>
      <c r="N11" s="56" t="s">
        <v>149</v>
      </c>
      <c r="O11" s="56" t="s">
        <v>66</v>
      </c>
      <c r="Q11" s="62"/>
      <c r="S11" s="63">
        <f t="shared" si="0"/>
      </c>
      <c r="T11" s="63" t="str">
        <f t="shared" si="1"/>
        <v>AP</v>
      </c>
      <c r="U11" s="62"/>
      <c r="V11" s="64">
        <f t="shared" si="2"/>
      </c>
    </row>
    <row r="12" spans="1:24" s="84" customFormat="1" ht="63.75">
      <c r="A12" s="83">
        <v>787</v>
      </c>
      <c r="B12" s="58" t="s">
        <v>18</v>
      </c>
      <c r="C12" s="58" t="s">
        <v>68</v>
      </c>
      <c r="D12" s="83" t="s">
        <v>125</v>
      </c>
      <c r="E12" s="83">
        <v>6</v>
      </c>
      <c r="F12" s="83" t="s">
        <v>135</v>
      </c>
      <c r="G12" s="83">
        <v>32</v>
      </c>
      <c r="H12" s="83">
        <v>49</v>
      </c>
      <c r="I12" s="58" t="s">
        <v>174</v>
      </c>
      <c r="J12" s="58" t="s">
        <v>20</v>
      </c>
      <c r="K12" s="90" t="s">
        <v>307</v>
      </c>
      <c r="L12" s="59" t="s">
        <v>274</v>
      </c>
      <c r="M12" s="60">
        <v>40493</v>
      </c>
      <c r="N12" s="56" t="s">
        <v>149</v>
      </c>
      <c r="O12" s="83" t="s">
        <v>66</v>
      </c>
      <c r="P12" s="84" t="s">
        <v>150</v>
      </c>
      <c r="Q12" s="85"/>
      <c r="S12" s="83">
        <f>IF(D12="E",L12,"")</f>
      </c>
      <c r="T12" s="83" t="str">
        <f>IF(OR(D12="T",D12="G"),L12,"")</f>
        <v>AP</v>
      </c>
      <c r="U12" s="83" t="e">
        <f>IF(OR(T12="A",T12="AP",T12="R",T12="Z"),#REF!,"")</f>
        <v>#REF!</v>
      </c>
      <c r="V12" s="83">
        <f>IF(OR(T12=0,T12="wp"),#REF!,"")</f>
      </c>
      <c r="W12" s="86">
        <v>40492</v>
      </c>
      <c r="X12" s="87">
        <f>IF(OR(T12="rdy2vote",T12="wp"),P12,"")</f>
      </c>
    </row>
    <row r="13" spans="1:24" s="84" customFormat="1" ht="38.25">
      <c r="A13" s="83">
        <v>693</v>
      </c>
      <c r="B13" s="58" t="s">
        <v>202</v>
      </c>
      <c r="C13" s="58" t="s">
        <v>72</v>
      </c>
      <c r="D13" s="83" t="s">
        <v>125</v>
      </c>
      <c r="E13" s="80">
        <v>6</v>
      </c>
      <c r="F13" s="80" t="s">
        <v>163</v>
      </c>
      <c r="G13" s="80">
        <v>32</v>
      </c>
      <c r="H13" s="80" t="s">
        <v>167</v>
      </c>
      <c r="I13" s="89" t="s">
        <v>168</v>
      </c>
      <c r="J13" s="90" t="s">
        <v>169</v>
      </c>
      <c r="K13" s="90" t="s">
        <v>307</v>
      </c>
      <c r="L13" s="59" t="s">
        <v>274</v>
      </c>
      <c r="M13" s="60">
        <v>40493</v>
      </c>
      <c r="N13" s="58" t="s">
        <v>149</v>
      </c>
      <c r="O13" s="83" t="s">
        <v>129</v>
      </c>
      <c r="P13" s="84" t="s">
        <v>150</v>
      </c>
      <c r="Q13" s="85"/>
      <c r="S13" s="83">
        <f>IF(D13="E",L13,"")</f>
      </c>
      <c r="T13" s="83" t="str">
        <f>IF(OR(D13="T",D13="G"),L13,"")</f>
        <v>AP</v>
      </c>
      <c r="U13" s="83" t="e">
        <f>IF(OR(T13="A",T13="AP",T13="R",T13="Z"),#REF!,"")</f>
        <v>#REF!</v>
      </c>
      <c r="V13" s="83">
        <f>IF(OR(T13=0,T13="wp"),#REF!,"")</f>
      </c>
      <c r="W13" s="86">
        <v>40492</v>
      </c>
      <c r="X13" s="87">
        <f>IF(OR(T13="rdy2vote",T13="wp"),P13,"")</f>
      </c>
    </row>
    <row r="14" spans="1:22" s="61" customFormat="1" ht="140.25">
      <c r="A14" s="56">
        <v>790</v>
      </c>
      <c r="B14" s="57" t="s">
        <v>18</v>
      </c>
      <c r="C14" s="57" t="s">
        <v>68</v>
      </c>
      <c r="D14" s="56" t="s">
        <v>125</v>
      </c>
      <c r="E14" s="56">
        <v>6</v>
      </c>
      <c r="F14" s="56" t="s">
        <v>135</v>
      </c>
      <c r="G14" s="56">
        <v>32</v>
      </c>
      <c r="H14" s="56">
        <v>51</v>
      </c>
      <c r="I14" s="58" t="s">
        <v>22</v>
      </c>
      <c r="J14" s="58" t="s">
        <v>23</v>
      </c>
      <c r="K14" s="58" t="s">
        <v>309</v>
      </c>
      <c r="L14" s="59" t="s">
        <v>274</v>
      </c>
      <c r="M14" s="60">
        <v>40493</v>
      </c>
      <c r="N14" s="58" t="s">
        <v>149</v>
      </c>
      <c r="O14" s="56" t="s">
        <v>66</v>
      </c>
      <c r="Q14" s="62"/>
      <c r="S14" s="63">
        <f t="shared" si="0"/>
      </c>
      <c r="T14" s="63" t="str">
        <f t="shared" si="1"/>
        <v>AP</v>
      </c>
      <c r="U14" s="62"/>
      <c r="V14" s="64">
        <f t="shared" si="2"/>
      </c>
    </row>
    <row r="15" spans="1:24" s="84" customFormat="1" ht="114.75">
      <c r="A15" s="83">
        <v>791</v>
      </c>
      <c r="B15" s="58" t="s">
        <v>18</v>
      </c>
      <c r="C15" s="58" t="s">
        <v>68</v>
      </c>
      <c r="D15" s="83" t="s">
        <v>125</v>
      </c>
      <c r="E15" s="83">
        <v>6</v>
      </c>
      <c r="F15" s="83" t="s">
        <v>175</v>
      </c>
      <c r="G15" s="83">
        <v>34</v>
      </c>
      <c r="H15" s="83">
        <v>4</v>
      </c>
      <c r="I15" s="58" t="s">
        <v>176</v>
      </c>
      <c r="J15" s="58" t="s">
        <v>177</v>
      </c>
      <c r="K15" s="58" t="s">
        <v>302</v>
      </c>
      <c r="L15" s="59" t="s">
        <v>276</v>
      </c>
      <c r="M15" s="60">
        <v>40493</v>
      </c>
      <c r="N15" s="58" t="s">
        <v>149</v>
      </c>
      <c r="O15" s="83" t="s">
        <v>66</v>
      </c>
      <c r="P15" s="84" t="s">
        <v>150</v>
      </c>
      <c r="Q15" s="85"/>
      <c r="S15" s="83">
        <f>IF(D15="E",L15,"")</f>
      </c>
      <c r="T15" s="83" t="str">
        <f>IF(OR(D15="T",D15="G"),L15,"")</f>
        <v>A</v>
      </c>
      <c r="U15" s="83" t="e">
        <f>IF(OR(T15="A",T15="AP",T15="R",T15="Z"),#REF!,"")</f>
        <v>#REF!</v>
      </c>
      <c r="V15" s="83">
        <f>IF(OR(T15=0,T15="wp"),#REF!,"")</f>
      </c>
      <c r="W15" s="86">
        <v>40492</v>
      </c>
      <c r="X15" s="87">
        <f>IF(OR(T15="rdy2vote",T15="wp"),P15,"")</f>
      </c>
    </row>
    <row r="16" spans="1:24" s="84" customFormat="1" ht="102">
      <c r="A16" s="83">
        <v>354</v>
      </c>
      <c r="B16" s="58" t="s">
        <v>81</v>
      </c>
      <c r="C16" s="58" t="s">
        <v>82</v>
      </c>
      <c r="D16" s="83" t="s">
        <v>125</v>
      </c>
      <c r="E16" s="83">
        <v>6</v>
      </c>
      <c r="F16" s="83" t="s">
        <v>130</v>
      </c>
      <c r="G16" s="83">
        <v>39</v>
      </c>
      <c r="H16" s="83">
        <v>49</v>
      </c>
      <c r="I16" s="58" t="s">
        <v>157</v>
      </c>
      <c r="J16" s="58" t="s">
        <v>158</v>
      </c>
      <c r="K16" s="58" t="s">
        <v>236</v>
      </c>
      <c r="L16" s="59" t="s">
        <v>278</v>
      </c>
      <c r="M16" s="60">
        <v>40559</v>
      </c>
      <c r="N16" s="58" t="s">
        <v>149</v>
      </c>
      <c r="O16" s="83" t="s">
        <v>129</v>
      </c>
      <c r="P16" s="84" t="s">
        <v>150</v>
      </c>
      <c r="Q16" s="85"/>
      <c r="S16" s="83">
        <f>IF(D16="E",L16,"")</f>
      </c>
      <c r="T16" s="83" t="str">
        <f>IF(OR(D16="T",D16="G"),L16,"")</f>
        <v>Z</v>
      </c>
      <c r="U16" s="83" t="e">
        <f>IF(OR(T16="A",T16="AP",T16="R",T16="Z"),#REF!,"")</f>
        <v>#REF!</v>
      </c>
      <c r="V16" s="83">
        <f>IF(OR(T16=0,T16="wp"),#REF!,"")</f>
      </c>
      <c r="W16" s="86">
        <v>40492</v>
      </c>
      <c r="X16" s="87">
        <f>IF(OR(T16="rdy2vote",T16="wp"),P16,"")</f>
      </c>
    </row>
    <row r="17" spans="1:22" s="61" customFormat="1" ht="76.5">
      <c r="A17" s="56">
        <v>797</v>
      </c>
      <c r="B17" s="57" t="s">
        <v>18</v>
      </c>
      <c r="C17" s="57" t="s">
        <v>68</v>
      </c>
      <c r="D17" s="56" t="s">
        <v>125</v>
      </c>
      <c r="E17" s="56">
        <v>6</v>
      </c>
      <c r="F17" s="56" t="s">
        <v>130</v>
      </c>
      <c r="G17" s="56">
        <v>39</v>
      </c>
      <c r="H17" s="56">
        <v>53</v>
      </c>
      <c r="I17" s="58" t="s">
        <v>24</v>
      </c>
      <c r="J17" s="58" t="s">
        <v>25</v>
      </c>
      <c r="K17" s="58" t="s">
        <v>311</v>
      </c>
      <c r="L17" s="59" t="s">
        <v>274</v>
      </c>
      <c r="M17" s="60">
        <v>40493</v>
      </c>
      <c r="N17" s="58" t="s">
        <v>149</v>
      </c>
      <c r="O17" s="56" t="s">
        <v>66</v>
      </c>
      <c r="Q17" s="62"/>
      <c r="S17" s="63">
        <f t="shared" si="0"/>
      </c>
      <c r="T17" s="63" t="str">
        <f t="shared" si="1"/>
        <v>AP</v>
      </c>
      <c r="U17" s="62"/>
      <c r="V17" s="64">
        <f t="shared" si="2"/>
      </c>
    </row>
    <row r="18" spans="1:24" s="84" customFormat="1" ht="63.75">
      <c r="A18" s="83">
        <v>218</v>
      </c>
      <c r="B18" s="58" t="s">
        <v>290</v>
      </c>
      <c r="C18" s="58" t="s">
        <v>62</v>
      </c>
      <c r="D18" s="83" t="s">
        <v>125</v>
      </c>
      <c r="E18" s="83">
        <v>6</v>
      </c>
      <c r="F18" s="83" t="s">
        <v>130</v>
      </c>
      <c r="G18" s="83">
        <v>40</v>
      </c>
      <c r="H18" s="83">
        <v>2</v>
      </c>
      <c r="I18" s="58" t="s">
        <v>154</v>
      </c>
      <c r="J18" s="58" t="s">
        <v>155</v>
      </c>
      <c r="K18" s="58" t="s">
        <v>312</v>
      </c>
      <c r="L18" s="59" t="s">
        <v>274</v>
      </c>
      <c r="M18" s="60">
        <v>40493</v>
      </c>
      <c r="N18" s="58" t="s">
        <v>149</v>
      </c>
      <c r="O18" s="83" t="s">
        <v>66</v>
      </c>
      <c r="P18" s="84" t="s">
        <v>150</v>
      </c>
      <c r="Q18" s="85"/>
      <c r="S18" s="83">
        <f>IF(D18="E",L18,"")</f>
      </c>
      <c r="T18" s="83" t="str">
        <f>IF(OR(D18="T",D18="G"),L18,"")</f>
        <v>AP</v>
      </c>
      <c r="U18" s="83" t="e">
        <f>IF(OR(T18="A",T18="AP",T18="R",T18="Z"),#REF!,"")</f>
        <v>#REF!</v>
      </c>
      <c r="V18" s="83">
        <f>IF(OR(T18=0,T18="wp"),#REF!,"")</f>
      </c>
      <c r="W18" s="86">
        <v>40492</v>
      </c>
      <c r="X18" s="87">
        <f>IF(OR(T18="rdy2vote",T18="wp"),P18,"")</f>
      </c>
    </row>
    <row r="19" spans="1:24" s="84" customFormat="1" ht="293.25">
      <c r="A19" s="83">
        <v>799</v>
      </c>
      <c r="B19" s="58" t="s">
        <v>18</v>
      </c>
      <c r="C19" s="58" t="s">
        <v>68</v>
      </c>
      <c r="D19" s="83" t="s">
        <v>125</v>
      </c>
      <c r="E19" s="83">
        <v>6</v>
      </c>
      <c r="F19" s="83" t="s">
        <v>130</v>
      </c>
      <c r="G19" s="83">
        <v>40</v>
      </c>
      <c r="H19" s="83">
        <v>3</v>
      </c>
      <c r="I19" s="58" t="s">
        <v>178</v>
      </c>
      <c r="J19" s="58" t="s">
        <v>179</v>
      </c>
      <c r="K19" s="58" t="s">
        <v>313</v>
      </c>
      <c r="L19" s="59" t="s">
        <v>274</v>
      </c>
      <c r="M19" s="60">
        <v>40493</v>
      </c>
      <c r="N19" s="58" t="s">
        <v>149</v>
      </c>
      <c r="O19" s="83" t="s">
        <v>66</v>
      </c>
      <c r="P19" s="84" t="s">
        <v>150</v>
      </c>
      <c r="Q19" s="85"/>
      <c r="S19" s="83">
        <f>IF(D19="E",L19,"")</f>
      </c>
      <c r="T19" s="83" t="str">
        <f>IF(OR(D19="T",D19="G"),L19,"")</f>
        <v>AP</v>
      </c>
      <c r="U19" s="83" t="e">
        <f>IF(OR(T19="A",T19="AP",T19="R",T19="Z"),#REF!,"")</f>
        <v>#REF!</v>
      </c>
      <c r="V19" s="83">
        <f>IF(OR(T19=0,T19="wp"),#REF!,"")</f>
      </c>
      <c r="W19" s="86">
        <v>40492</v>
      </c>
      <c r="X19" s="87">
        <f>IF(OR(T19="rdy2vote",T19="wp"),P19,"")</f>
      </c>
    </row>
    <row r="20" spans="1:22" ht="395.25">
      <c r="A20" s="21">
        <v>219</v>
      </c>
      <c r="B20" s="19" t="s">
        <v>290</v>
      </c>
      <c r="C20" s="19" t="s">
        <v>62</v>
      </c>
      <c r="D20" s="21" t="s">
        <v>125</v>
      </c>
      <c r="E20" s="21">
        <v>6</v>
      </c>
      <c r="F20" s="21" t="s">
        <v>130</v>
      </c>
      <c r="G20" s="21">
        <v>40</v>
      </c>
      <c r="H20" s="21">
        <v>12</v>
      </c>
      <c r="I20" s="15" t="s">
        <v>297</v>
      </c>
      <c r="J20" s="15" t="s">
        <v>298</v>
      </c>
      <c r="K20" s="15" t="s">
        <v>348</v>
      </c>
      <c r="L20" s="46" t="s">
        <v>310</v>
      </c>
      <c r="N20" s="15" t="s">
        <v>149</v>
      </c>
      <c r="O20" s="21" t="s">
        <v>129</v>
      </c>
      <c r="S20" s="44">
        <f t="shared" si="0"/>
      </c>
      <c r="T20" s="44" t="str">
        <f t="shared" si="1"/>
        <v>wp</v>
      </c>
      <c r="V20" s="52">
        <f t="shared" si="2"/>
        <v>0</v>
      </c>
    </row>
    <row r="21" spans="1:22" s="61" customFormat="1" ht="102">
      <c r="A21" s="56">
        <v>355</v>
      </c>
      <c r="B21" s="57" t="s">
        <v>81</v>
      </c>
      <c r="C21" s="57" t="s">
        <v>82</v>
      </c>
      <c r="D21" s="56" t="s">
        <v>125</v>
      </c>
      <c r="E21" s="56">
        <v>6</v>
      </c>
      <c r="F21" s="56" t="s">
        <v>130</v>
      </c>
      <c r="G21" s="56">
        <v>40</v>
      </c>
      <c r="H21" s="56">
        <v>13</v>
      </c>
      <c r="I21" s="58" t="s">
        <v>83</v>
      </c>
      <c r="J21" s="58" t="s">
        <v>84</v>
      </c>
      <c r="K21" s="58" t="s">
        <v>314</v>
      </c>
      <c r="L21" s="59" t="s">
        <v>277</v>
      </c>
      <c r="M21" s="60">
        <v>40493</v>
      </c>
      <c r="N21" s="58" t="s">
        <v>149</v>
      </c>
      <c r="O21" s="56" t="s">
        <v>129</v>
      </c>
      <c r="Q21" s="62"/>
      <c r="S21" s="63">
        <f t="shared" si="0"/>
      </c>
      <c r="T21" s="63" t="str">
        <f t="shared" si="1"/>
        <v>R</v>
      </c>
      <c r="U21" s="62"/>
      <c r="V21" s="64">
        <f t="shared" si="2"/>
      </c>
    </row>
    <row r="22" spans="1:22" s="61" customFormat="1" ht="102">
      <c r="A22" s="56">
        <v>220</v>
      </c>
      <c r="B22" s="57" t="s">
        <v>290</v>
      </c>
      <c r="C22" s="57" t="s">
        <v>62</v>
      </c>
      <c r="D22" s="56" t="s">
        <v>125</v>
      </c>
      <c r="E22" s="56">
        <v>6</v>
      </c>
      <c r="F22" s="56" t="s">
        <v>130</v>
      </c>
      <c r="G22" s="56">
        <v>40</v>
      </c>
      <c r="H22" s="56">
        <v>24</v>
      </c>
      <c r="I22" s="58" t="s">
        <v>299</v>
      </c>
      <c r="J22" s="58" t="s">
        <v>300</v>
      </c>
      <c r="K22" s="75" t="s">
        <v>233</v>
      </c>
      <c r="L22" s="59" t="s">
        <v>276</v>
      </c>
      <c r="M22" s="60">
        <v>40493</v>
      </c>
      <c r="N22" s="58" t="s">
        <v>149</v>
      </c>
      <c r="O22" s="56" t="s">
        <v>66</v>
      </c>
      <c r="Q22" s="62"/>
      <c r="S22" s="63">
        <f t="shared" si="0"/>
      </c>
      <c r="T22" s="63" t="str">
        <f t="shared" si="1"/>
        <v>A</v>
      </c>
      <c r="U22" s="62"/>
      <c r="V22" s="64">
        <f t="shared" si="2"/>
      </c>
    </row>
    <row r="23" spans="1:24" s="84" customFormat="1" ht="84.75" customHeight="1">
      <c r="A23" s="83">
        <v>802</v>
      </c>
      <c r="B23" s="58" t="s">
        <v>18</v>
      </c>
      <c r="C23" s="58" t="s">
        <v>68</v>
      </c>
      <c r="D23" s="83" t="s">
        <v>125</v>
      </c>
      <c r="E23" s="83">
        <v>6</v>
      </c>
      <c r="F23" s="83" t="s">
        <v>130</v>
      </c>
      <c r="G23" s="83">
        <v>40</v>
      </c>
      <c r="H23" s="83">
        <v>29</v>
      </c>
      <c r="I23" s="58" t="s">
        <v>180</v>
      </c>
      <c r="J23" s="58" t="s">
        <v>181</v>
      </c>
      <c r="K23" s="58" t="s">
        <v>315</v>
      </c>
      <c r="L23" s="59" t="s">
        <v>274</v>
      </c>
      <c r="M23" s="60">
        <v>40493</v>
      </c>
      <c r="N23" s="58" t="s">
        <v>149</v>
      </c>
      <c r="O23" s="83" t="s">
        <v>66</v>
      </c>
      <c r="P23" s="84" t="s">
        <v>150</v>
      </c>
      <c r="Q23" s="85"/>
      <c r="S23" s="83">
        <f>IF(D23="E",L23,"")</f>
      </c>
      <c r="T23" s="83" t="str">
        <f>IF(OR(D23="T",D23="G"),L23,"")</f>
        <v>AP</v>
      </c>
      <c r="U23" s="83" t="e">
        <f>IF(OR(T23="A",T23="AP",T23="R",T23="Z"),#REF!,"")</f>
        <v>#REF!</v>
      </c>
      <c r="V23" s="83">
        <f>IF(OR(T23=0,T23="wp"),#REF!,"")</f>
      </c>
      <c r="W23" s="86">
        <v>40492</v>
      </c>
      <c r="X23" s="87">
        <f>IF(OR(T23="rdy2vote",T23="wp"),P23,"")</f>
      </c>
    </row>
    <row r="24" spans="1:22" s="61" customFormat="1" ht="293.25">
      <c r="A24" s="56">
        <v>696</v>
      </c>
      <c r="B24" s="57" t="s">
        <v>202</v>
      </c>
      <c r="C24" s="57" t="s">
        <v>72</v>
      </c>
      <c r="D24" s="56" t="s">
        <v>125</v>
      </c>
      <c r="E24" s="77">
        <v>6</v>
      </c>
      <c r="F24" s="77" t="s">
        <v>130</v>
      </c>
      <c r="G24" s="77">
        <v>40</v>
      </c>
      <c r="H24" s="77" t="s">
        <v>203</v>
      </c>
      <c r="I24" s="89" t="s">
        <v>204</v>
      </c>
      <c r="J24" s="90" t="s">
        <v>205</v>
      </c>
      <c r="K24" s="89" t="s">
        <v>317</v>
      </c>
      <c r="L24" s="59" t="s">
        <v>274</v>
      </c>
      <c r="M24" s="60">
        <v>40493</v>
      </c>
      <c r="N24" s="58" t="s">
        <v>149</v>
      </c>
      <c r="O24" s="56" t="s">
        <v>129</v>
      </c>
      <c r="Q24" s="62"/>
      <c r="S24" s="63">
        <f t="shared" si="0"/>
      </c>
      <c r="T24" s="63" t="str">
        <f t="shared" si="1"/>
        <v>AP</v>
      </c>
      <c r="U24" s="62"/>
      <c r="V24" s="64">
        <f t="shared" si="2"/>
      </c>
    </row>
    <row r="25" spans="1:22" s="61" customFormat="1" ht="229.5">
      <c r="A25" s="56">
        <v>697</v>
      </c>
      <c r="B25" s="57" t="s">
        <v>202</v>
      </c>
      <c r="C25" s="57" t="s">
        <v>72</v>
      </c>
      <c r="D25" s="56" t="s">
        <v>125</v>
      </c>
      <c r="E25" s="77">
        <v>6</v>
      </c>
      <c r="F25" s="77" t="s">
        <v>130</v>
      </c>
      <c r="G25" s="77">
        <v>40</v>
      </c>
      <c r="H25" s="91"/>
      <c r="I25" s="89" t="s">
        <v>206</v>
      </c>
      <c r="J25" s="89" t="s">
        <v>273</v>
      </c>
      <c r="K25" s="89" t="s">
        <v>318</v>
      </c>
      <c r="L25" s="59" t="s">
        <v>274</v>
      </c>
      <c r="M25" s="60">
        <v>40493</v>
      </c>
      <c r="N25" s="58" t="s">
        <v>149</v>
      </c>
      <c r="O25" s="56" t="s">
        <v>129</v>
      </c>
      <c r="Q25" s="62"/>
      <c r="S25" s="63">
        <f t="shared" si="0"/>
      </c>
      <c r="T25" s="63" t="str">
        <f t="shared" si="1"/>
        <v>AP</v>
      </c>
      <c r="U25" s="62"/>
      <c r="V25" s="64">
        <f t="shared" si="2"/>
      </c>
    </row>
    <row r="26" spans="1:24" s="93" customFormat="1" ht="114.75">
      <c r="A26" s="83">
        <v>69</v>
      </c>
      <c r="B26" s="75" t="s">
        <v>139</v>
      </c>
      <c r="C26" s="75" t="s">
        <v>140</v>
      </c>
      <c r="D26" s="80" t="s">
        <v>125</v>
      </c>
      <c r="E26" s="80">
        <v>6</v>
      </c>
      <c r="F26" s="80" t="s">
        <v>130</v>
      </c>
      <c r="G26" s="80">
        <v>40</v>
      </c>
      <c r="H26" s="80">
        <v>36</v>
      </c>
      <c r="I26" s="75" t="s">
        <v>147</v>
      </c>
      <c r="J26" s="75" t="s">
        <v>148</v>
      </c>
      <c r="K26" s="58" t="s">
        <v>316</v>
      </c>
      <c r="L26" s="59" t="s">
        <v>274</v>
      </c>
      <c r="M26" s="79">
        <v>40493</v>
      </c>
      <c r="N26" s="58" t="s">
        <v>149</v>
      </c>
      <c r="O26" s="80"/>
      <c r="P26" s="84" t="s">
        <v>150</v>
      </c>
      <c r="Q26" s="92"/>
      <c r="S26" s="83">
        <f>IF(D26="E",L26,"")</f>
      </c>
      <c r="T26" s="83" t="str">
        <f>IF(OR(D26="T",D26="G"),L26,"")</f>
        <v>AP</v>
      </c>
      <c r="U26" s="83" t="e">
        <f>IF(OR(T26="A",T26="AP",T26="R",T26="Z"),#REF!,"")</f>
        <v>#REF!</v>
      </c>
      <c r="V26" s="83">
        <f>IF(OR(T26=0,T26="wp"),#REF!,"")</f>
      </c>
      <c r="W26" s="86">
        <v>40492</v>
      </c>
      <c r="X26" s="87">
        <f>IF(OR(T26="rdy2vote",T26="wp"),P26,"")</f>
      </c>
    </row>
    <row r="27" spans="1:22" s="61" customFormat="1" ht="140.25">
      <c r="A27" s="56">
        <v>698</v>
      </c>
      <c r="B27" s="57" t="s">
        <v>202</v>
      </c>
      <c r="C27" s="57" t="s">
        <v>115</v>
      </c>
      <c r="D27" s="56" t="s">
        <v>125</v>
      </c>
      <c r="E27" s="77">
        <v>6</v>
      </c>
      <c r="F27" s="77" t="s">
        <v>207</v>
      </c>
      <c r="G27" s="77">
        <v>40</v>
      </c>
      <c r="H27" s="91"/>
      <c r="I27" s="89" t="s">
        <v>208</v>
      </c>
      <c r="J27" s="90" t="s">
        <v>209</v>
      </c>
      <c r="K27" s="89" t="s">
        <v>326</v>
      </c>
      <c r="L27" s="59" t="s">
        <v>277</v>
      </c>
      <c r="M27" s="60">
        <v>40493</v>
      </c>
      <c r="N27" s="58" t="s">
        <v>149</v>
      </c>
      <c r="O27" s="56" t="s">
        <v>129</v>
      </c>
      <c r="Q27" s="62"/>
      <c r="S27" s="63">
        <f t="shared" si="0"/>
      </c>
      <c r="T27" s="63" t="str">
        <f t="shared" si="1"/>
        <v>R</v>
      </c>
      <c r="U27" s="62"/>
      <c r="V27" s="64">
        <f t="shared" si="2"/>
      </c>
    </row>
    <row r="28" spans="1:24" s="96" customFormat="1" ht="114.75">
      <c r="A28" s="95">
        <v>221</v>
      </c>
      <c r="B28" s="67" t="s">
        <v>290</v>
      </c>
      <c r="C28" s="67" t="s">
        <v>62</v>
      </c>
      <c r="D28" s="95" t="s">
        <v>125</v>
      </c>
      <c r="E28" s="95">
        <v>6</v>
      </c>
      <c r="F28" s="95" t="s">
        <v>130</v>
      </c>
      <c r="G28" s="95">
        <v>40</v>
      </c>
      <c r="H28" s="95">
        <v>53</v>
      </c>
      <c r="I28" s="67" t="s">
        <v>156</v>
      </c>
      <c r="J28" s="67" t="s">
        <v>295</v>
      </c>
      <c r="K28" s="67" t="s">
        <v>319</v>
      </c>
      <c r="L28" s="68" t="s">
        <v>310</v>
      </c>
      <c r="M28" s="69"/>
      <c r="N28" s="67" t="s">
        <v>149</v>
      </c>
      <c r="O28" s="95" t="s">
        <v>66</v>
      </c>
      <c r="P28" s="96" t="s">
        <v>150</v>
      </c>
      <c r="Q28" s="97"/>
      <c r="S28" s="95">
        <f>IF(D28="E",L28,"")</f>
      </c>
      <c r="T28" s="95" t="str">
        <f>IF(OR(D28="T",D28="G"),L28,"")</f>
        <v>wp</v>
      </c>
      <c r="U28" s="95">
        <f>IF(OR(T28="A",T28="AP",T28="R",T28="Z"),N28,"")</f>
      </c>
      <c r="V28" s="95" t="str">
        <f>IF(OR(T28=0,T28="wp"),N28,"")</f>
        <v>Mode Switch</v>
      </c>
      <c r="W28" s="98">
        <v>40492</v>
      </c>
      <c r="X28" s="99" t="str">
        <f>IF(OR(T28="rdy2vote",T28="wp"),P28,"")</f>
        <v>Chang</v>
      </c>
    </row>
    <row r="29" spans="1:24" s="84" customFormat="1" ht="63.75">
      <c r="A29" s="83">
        <v>153</v>
      </c>
      <c r="B29" s="58" t="s">
        <v>127</v>
      </c>
      <c r="C29" s="58" t="s">
        <v>151</v>
      </c>
      <c r="D29" s="83" t="s">
        <v>125</v>
      </c>
      <c r="E29" s="83">
        <v>6</v>
      </c>
      <c r="F29" s="83" t="s">
        <v>130</v>
      </c>
      <c r="G29" s="83">
        <v>41</v>
      </c>
      <c r="H29" s="83">
        <v>5</v>
      </c>
      <c r="I29" s="58" t="s">
        <v>152</v>
      </c>
      <c r="J29" s="58" t="s">
        <v>153</v>
      </c>
      <c r="K29" s="58" t="s">
        <v>329</v>
      </c>
      <c r="L29" s="59" t="s">
        <v>274</v>
      </c>
      <c r="M29" s="60">
        <v>40493</v>
      </c>
      <c r="N29" s="58" t="s">
        <v>149</v>
      </c>
      <c r="O29" s="83" t="s">
        <v>129</v>
      </c>
      <c r="P29" s="84" t="s">
        <v>150</v>
      </c>
      <c r="Q29" s="85"/>
      <c r="S29" s="83">
        <f>IF(D29="E",L29,"")</f>
      </c>
      <c r="T29" s="83" t="str">
        <f>IF(OR(D29="T",D29="G"),L29,"")</f>
        <v>AP</v>
      </c>
      <c r="U29" s="83" t="str">
        <f>IF(OR(T29="A",T29="AP",T29="R",T29="Z"),N29,"")</f>
        <v>Mode Switch</v>
      </c>
      <c r="V29" s="83">
        <f>IF(OR(T29=0,T29="wp"),N29,"")</f>
      </c>
      <c r="W29" s="86">
        <v>40492</v>
      </c>
      <c r="X29" s="87">
        <f>IF(OR(T29="rdy2vote",T29="wp"),P29,"")</f>
      </c>
    </row>
    <row r="30" spans="1:22" s="61" customFormat="1" ht="409.5">
      <c r="A30" s="56">
        <v>222</v>
      </c>
      <c r="B30" s="57" t="s">
        <v>290</v>
      </c>
      <c r="C30" s="57" t="s">
        <v>62</v>
      </c>
      <c r="D30" s="56" t="s">
        <v>125</v>
      </c>
      <c r="E30" s="56">
        <v>6</v>
      </c>
      <c r="F30" s="56" t="s">
        <v>130</v>
      </c>
      <c r="G30" s="56">
        <v>41</v>
      </c>
      <c r="H30" s="56">
        <v>5</v>
      </c>
      <c r="I30" s="58" t="s">
        <v>0</v>
      </c>
      <c r="J30" s="58" t="s">
        <v>1</v>
      </c>
      <c r="K30" s="75" t="s">
        <v>236</v>
      </c>
      <c r="L30" s="59" t="s">
        <v>278</v>
      </c>
      <c r="M30" s="60" t="s">
        <v>325</v>
      </c>
      <c r="N30" s="58" t="s">
        <v>149</v>
      </c>
      <c r="O30" s="56" t="s">
        <v>129</v>
      </c>
      <c r="Q30" s="62"/>
      <c r="S30" s="63">
        <f t="shared" si="0"/>
      </c>
      <c r="T30" s="63" t="str">
        <f>IF(OR(D30="T",D30="G"),L30,"")</f>
        <v>Z</v>
      </c>
      <c r="U30" s="62"/>
      <c r="V30" s="64">
        <f t="shared" si="2"/>
      </c>
    </row>
    <row r="31" spans="1:22" s="61" customFormat="1" ht="76.5">
      <c r="A31" s="56">
        <v>587</v>
      </c>
      <c r="B31" s="57" t="s">
        <v>45</v>
      </c>
      <c r="C31" s="57" t="s">
        <v>140</v>
      </c>
      <c r="D31" s="56" t="s">
        <v>125</v>
      </c>
      <c r="E31" s="56">
        <v>6</v>
      </c>
      <c r="F31" s="56" t="s">
        <v>130</v>
      </c>
      <c r="G31" s="56">
        <v>41</v>
      </c>
      <c r="H31" s="56">
        <v>6</v>
      </c>
      <c r="I31" s="58" t="s">
        <v>46</v>
      </c>
      <c r="J31" s="58" t="s">
        <v>47</v>
      </c>
      <c r="K31" s="58" t="s">
        <v>236</v>
      </c>
      <c r="L31" s="59" t="s">
        <v>278</v>
      </c>
      <c r="M31" s="60">
        <v>40557</v>
      </c>
      <c r="N31" s="58" t="s">
        <v>149</v>
      </c>
      <c r="O31" s="56"/>
      <c r="Q31" s="62"/>
      <c r="S31" s="63">
        <f t="shared" si="0"/>
      </c>
      <c r="T31" s="63" t="str">
        <f t="shared" si="1"/>
        <v>Z</v>
      </c>
      <c r="U31" s="62"/>
      <c r="V31" s="64">
        <f t="shared" si="2"/>
      </c>
    </row>
    <row r="32" spans="1:22" s="61" customFormat="1" ht="102">
      <c r="A32" s="56">
        <v>356</v>
      </c>
      <c r="B32" s="57" t="s">
        <v>81</v>
      </c>
      <c r="C32" s="57" t="s">
        <v>82</v>
      </c>
      <c r="D32" s="56" t="s">
        <v>125</v>
      </c>
      <c r="E32" s="56">
        <v>6</v>
      </c>
      <c r="F32" s="56" t="s">
        <v>130</v>
      </c>
      <c r="G32" s="56">
        <v>41</v>
      </c>
      <c r="H32" s="56">
        <v>12</v>
      </c>
      <c r="I32" s="58" t="s">
        <v>85</v>
      </c>
      <c r="J32" s="58" t="s">
        <v>86</v>
      </c>
      <c r="K32" s="58" t="s">
        <v>320</v>
      </c>
      <c r="L32" s="59" t="s">
        <v>274</v>
      </c>
      <c r="M32" s="60">
        <v>40493</v>
      </c>
      <c r="N32" s="58" t="s">
        <v>149</v>
      </c>
      <c r="O32" s="56" t="s">
        <v>129</v>
      </c>
      <c r="Q32" s="62"/>
      <c r="S32" s="63">
        <f t="shared" si="0"/>
      </c>
      <c r="T32" s="63" t="str">
        <f t="shared" si="1"/>
        <v>AP</v>
      </c>
      <c r="U32" s="62"/>
      <c r="V32" s="64">
        <f t="shared" si="2"/>
      </c>
    </row>
    <row r="33" spans="1:22" s="61" customFormat="1" ht="38.25">
      <c r="A33" s="56">
        <v>981</v>
      </c>
      <c r="B33" s="57" t="s">
        <v>34</v>
      </c>
      <c r="C33" s="57" t="s">
        <v>35</v>
      </c>
      <c r="D33" s="56" t="s">
        <v>126</v>
      </c>
      <c r="E33" s="56">
        <v>6</v>
      </c>
      <c r="F33" s="56" t="s">
        <v>130</v>
      </c>
      <c r="G33" s="56">
        <v>41</v>
      </c>
      <c r="H33" s="56" t="s">
        <v>3</v>
      </c>
      <c r="I33" s="58" t="s">
        <v>4</v>
      </c>
      <c r="J33" s="58" t="s">
        <v>2</v>
      </c>
      <c r="K33" s="58" t="s">
        <v>328</v>
      </c>
      <c r="L33" s="59" t="s">
        <v>274</v>
      </c>
      <c r="M33" s="60">
        <v>40493</v>
      </c>
      <c r="N33" s="58" t="s">
        <v>149</v>
      </c>
      <c r="O33" s="56" t="s">
        <v>129</v>
      </c>
      <c r="Q33" s="62"/>
      <c r="S33" s="63" t="str">
        <f t="shared" si="0"/>
        <v>AP</v>
      </c>
      <c r="T33" s="63">
        <f t="shared" si="1"/>
      </c>
      <c r="U33" s="62"/>
      <c r="V33" s="64">
        <f t="shared" si="2"/>
      </c>
    </row>
    <row r="34" spans="1:22" s="61" customFormat="1" ht="51">
      <c r="A34" s="56">
        <v>590</v>
      </c>
      <c r="B34" s="57" t="s">
        <v>45</v>
      </c>
      <c r="C34" s="57" t="s">
        <v>140</v>
      </c>
      <c r="D34" s="56" t="s">
        <v>125</v>
      </c>
      <c r="E34" s="56">
        <v>6</v>
      </c>
      <c r="F34" s="56" t="s">
        <v>97</v>
      </c>
      <c r="G34" s="56">
        <v>64</v>
      </c>
      <c r="H34" s="101" t="s">
        <v>48</v>
      </c>
      <c r="I34" s="58" t="s">
        <v>49</v>
      </c>
      <c r="J34" s="58" t="s">
        <v>50</v>
      </c>
      <c r="K34" s="58" t="s">
        <v>236</v>
      </c>
      <c r="L34" s="59" t="s">
        <v>278</v>
      </c>
      <c r="M34" s="60">
        <v>40521</v>
      </c>
      <c r="N34" s="58" t="s">
        <v>149</v>
      </c>
      <c r="O34" s="56"/>
      <c r="Q34" s="62"/>
      <c r="S34" s="63">
        <f t="shared" si="0"/>
      </c>
      <c r="T34" s="63" t="str">
        <f t="shared" si="1"/>
        <v>Z</v>
      </c>
      <c r="U34" s="62"/>
      <c r="V34" s="64">
        <f t="shared" si="2"/>
      </c>
    </row>
    <row r="35" spans="1:22" ht="382.5">
      <c r="A35" s="21">
        <v>204</v>
      </c>
      <c r="B35" s="19" t="s">
        <v>290</v>
      </c>
      <c r="C35" s="19" t="s">
        <v>62</v>
      </c>
      <c r="D35" s="21" t="s">
        <v>125</v>
      </c>
      <c r="E35" s="21">
        <v>6</v>
      </c>
      <c r="F35" s="21" t="s">
        <v>74</v>
      </c>
      <c r="G35" s="21">
        <v>67</v>
      </c>
      <c r="H35" s="21">
        <v>42</v>
      </c>
      <c r="I35" s="15" t="s">
        <v>331</v>
      </c>
      <c r="J35" s="15" t="s">
        <v>291</v>
      </c>
      <c r="K35" s="15" t="s">
        <v>353</v>
      </c>
      <c r="L35" s="46" t="s">
        <v>310</v>
      </c>
      <c r="N35" s="15" t="s">
        <v>149</v>
      </c>
      <c r="O35" s="21" t="s">
        <v>129</v>
      </c>
      <c r="S35" s="44">
        <f t="shared" si="0"/>
      </c>
      <c r="T35" s="44" t="str">
        <f t="shared" si="1"/>
        <v>wp</v>
      </c>
      <c r="V35" s="52">
        <f t="shared" si="2"/>
        <v>0</v>
      </c>
    </row>
    <row r="36" spans="1:22" ht="331.5">
      <c r="A36" s="21">
        <v>276</v>
      </c>
      <c r="B36" s="19" t="s">
        <v>290</v>
      </c>
      <c r="C36" s="19" t="s">
        <v>62</v>
      </c>
      <c r="D36" s="21" t="s">
        <v>125</v>
      </c>
      <c r="E36" s="21">
        <v>6</v>
      </c>
      <c r="F36" s="21" t="s">
        <v>74</v>
      </c>
      <c r="G36" s="21">
        <v>67</v>
      </c>
      <c r="H36" s="21">
        <v>42</v>
      </c>
      <c r="I36" s="15" t="s">
        <v>279</v>
      </c>
      <c r="J36" s="15" t="s">
        <v>280</v>
      </c>
      <c r="K36" s="15" t="s">
        <v>352</v>
      </c>
      <c r="L36" s="46" t="s">
        <v>310</v>
      </c>
      <c r="N36" s="15" t="s">
        <v>149</v>
      </c>
      <c r="O36" s="21" t="s">
        <v>129</v>
      </c>
      <c r="S36" s="44">
        <f t="shared" si="0"/>
      </c>
      <c r="T36" s="44" t="str">
        <f t="shared" si="1"/>
        <v>wp</v>
      </c>
      <c r="V36" s="52">
        <f t="shared" si="2"/>
        <v>0</v>
      </c>
    </row>
    <row r="37" spans="1:22" s="70" customFormat="1" ht="229.5">
      <c r="A37" s="65">
        <v>593</v>
      </c>
      <c r="B37" s="66" t="s">
        <v>45</v>
      </c>
      <c r="C37" s="66" t="s">
        <v>140</v>
      </c>
      <c r="D37" s="65" t="s">
        <v>125</v>
      </c>
      <c r="E37" s="65">
        <v>6</v>
      </c>
      <c r="F37" s="65" t="s">
        <v>74</v>
      </c>
      <c r="G37" s="65">
        <v>67</v>
      </c>
      <c r="H37" s="102" t="s">
        <v>51</v>
      </c>
      <c r="I37" s="67" t="s">
        <v>52</v>
      </c>
      <c r="J37" s="67" t="s">
        <v>54</v>
      </c>
      <c r="K37" s="67" t="s">
        <v>341</v>
      </c>
      <c r="L37" s="68" t="s">
        <v>274</v>
      </c>
      <c r="M37" s="69"/>
      <c r="N37" s="67" t="s">
        <v>149</v>
      </c>
      <c r="O37" s="65"/>
      <c r="Q37" s="71"/>
      <c r="S37" s="72">
        <f t="shared" si="0"/>
      </c>
      <c r="T37" s="72" t="str">
        <f t="shared" si="1"/>
        <v>AP</v>
      </c>
      <c r="U37" s="71"/>
      <c r="V37" s="73">
        <f t="shared" si="2"/>
      </c>
    </row>
    <row r="38" spans="1:22" s="70" customFormat="1" ht="102">
      <c r="A38" s="65">
        <v>841</v>
      </c>
      <c r="B38" s="66" t="s">
        <v>18</v>
      </c>
      <c r="C38" s="66" t="s">
        <v>68</v>
      </c>
      <c r="D38" s="65" t="s">
        <v>125</v>
      </c>
      <c r="E38" s="65">
        <v>6</v>
      </c>
      <c r="F38" s="65" t="s">
        <v>74</v>
      </c>
      <c r="G38" s="65">
        <v>67</v>
      </c>
      <c r="H38" s="65">
        <v>48</v>
      </c>
      <c r="I38" s="67" t="s">
        <v>26</v>
      </c>
      <c r="J38" s="67" t="s">
        <v>27</v>
      </c>
      <c r="K38" s="67" t="s">
        <v>344</v>
      </c>
      <c r="L38" s="68" t="s">
        <v>310</v>
      </c>
      <c r="M38" s="69"/>
      <c r="N38" s="67" t="s">
        <v>149</v>
      </c>
      <c r="O38" s="65" t="s">
        <v>66</v>
      </c>
      <c r="Q38" s="71"/>
      <c r="S38" s="72">
        <f t="shared" si="0"/>
      </c>
      <c r="T38" s="72" t="str">
        <f t="shared" si="1"/>
        <v>wp</v>
      </c>
      <c r="U38" s="71"/>
      <c r="V38" s="73">
        <f t="shared" si="2"/>
        <v>0</v>
      </c>
    </row>
    <row r="39" spans="1:22" s="70" customFormat="1" ht="76.5">
      <c r="A39" s="65">
        <v>213</v>
      </c>
      <c r="B39" s="66" t="s">
        <v>290</v>
      </c>
      <c r="C39" s="66" t="s">
        <v>62</v>
      </c>
      <c r="D39" s="65" t="s">
        <v>125</v>
      </c>
      <c r="E39" s="65">
        <v>6</v>
      </c>
      <c r="F39" s="65" t="s">
        <v>74</v>
      </c>
      <c r="G39" s="65">
        <v>67</v>
      </c>
      <c r="H39" s="65">
        <v>49</v>
      </c>
      <c r="I39" s="67" t="s">
        <v>294</v>
      </c>
      <c r="J39" s="67" t="s">
        <v>295</v>
      </c>
      <c r="K39" s="94" t="s">
        <v>272</v>
      </c>
      <c r="L39" s="68" t="s">
        <v>310</v>
      </c>
      <c r="M39" s="69"/>
      <c r="N39" s="67" t="s">
        <v>149</v>
      </c>
      <c r="O39" s="65" t="s">
        <v>129</v>
      </c>
      <c r="Q39" s="71"/>
      <c r="S39" s="72">
        <f t="shared" si="0"/>
      </c>
      <c r="T39" s="72" t="str">
        <f t="shared" si="1"/>
        <v>wp</v>
      </c>
      <c r="U39" s="71"/>
      <c r="V39" s="73">
        <f t="shared" si="2"/>
        <v>0</v>
      </c>
    </row>
    <row r="40" spans="1:22" ht="76.5">
      <c r="A40" s="21">
        <v>215</v>
      </c>
      <c r="B40" s="19" t="s">
        <v>290</v>
      </c>
      <c r="C40" s="19" t="s">
        <v>62</v>
      </c>
      <c r="D40" s="21" t="s">
        <v>125</v>
      </c>
      <c r="E40" s="21">
        <v>6</v>
      </c>
      <c r="F40" s="21" t="s">
        <v>74</v>
      </c>
      <c r="G40" s="21">
        <v>67</v>
      </c>
      <c r="H40" s="21">
        <v>51</v>
      </c>
      <c r="I40" s="15" t="s">
        <v>296</v>
      </c>
      <c r="J40" s="15" t="s">
        <v>295</v>
      </c>
      <c r="K40" s="51" t="s">
        <v>272</v>
      </c>
      <c r="L40" s="46" t="s">
        <v>310</v>
      </c>
      <c r="N40" s="15" t="s">
        <v>149</v>
      </c>
      <c r="O40" s="21" t="s">
        <v>129</v>
      </c>
      <c r="S40" s="44">
        <f t="shared" si="0"/>
      </c>
      <c r="T40" s="44" t="str">
        <f t="shared" si="1"/>
        <v>wp</v>
      </c>
      <c r="V40" s="52">
        <f t="shared" si="2"/>
        <v>0</v>
      </c>
    </row>
    <row r="41" spans="1:22" ht="140.25">
      <c r="A41" s="21">
        <v>991</v>
      </c>
      <c r="B41" s="19" t="s">
        <v>34</v>
      </c>
      <c r="C41" s="19" t="s">
        <v>35</v>
      </c>
      <c r="D41" s="21" t="s">
        <v>125</v>
      </c>
      <c r="E41" s="21">
        <v>6</v>
      </c>
      <c r="F41" s="21" t="s">
        <v>74</v>
      </c>
      <c r="G41" s="21">
        <v>67</v>
      </c>
      <c r="H41" s="21" t="s">
        <v>5</v>
      </c>
      <c r="I41" s="15" t="s">
        <v>6</v>
      </c>
      <c r="J41" s="15" t="s">
        <v>7</v>
      </c>
      <c r="K41" s="15" t="s">
        <v>346</v>
      </c>
      <c r="L41" s="46" t="s">
        <v>310</v>
      </c>
      <c r="N41" s="15" t="s">
        <v>149</v>
      </c>
      <c r="O41" s="21" t="s">
        <v>129</v>
      </c>
      <c r="S41" s="44">
        <f t="shared" si="0"/>
      </c>
      <c r="T41" s="44" t="str">
        <f t="shared" si="1"/>
        <v>wp</v>
      </c>
      <c r="V41" s="52">
        <f t="shared" si="2"/>
        <v>0</v>
      </c>
    </row>
    <row r="42" spans="1:22" s="61" customFormat="1" ht="102">
      <c r="A42" s="56">
        <v>1167</v>
      </c>
      <c r="B42" s="57" t="s">
        <v>284</v>
      </c>
      <c r="C42" s="57" t="s">
        <v>285</v>
      </c>
      <c r="D42" s="56" t="s">
        <v>125</v>
      </c>
      <c r="E42" s="56">
        <v>6</v>
      </c>
      <c r="F42" s="56" t="s">
        <v>74</v>
      </c>
      <c r="G42" s="56">
        <v>67</v>
      </c>
      <c r="H42" s="56" t="s">
        <v>286</v>
      </c>
      <c r="I42" s="100" t="s">
        <v>287</v>
      </c>
      <c r="J42" s="58" t="s">
        <v>288</v>
      </c>
      <c r="K42" s="58" t="s">
        <v>236</v>
      </c>
      <c r="L42" s="59" t="s">
        <v>278</v>
      </c>
      <c r="M42" s="60">
        <v>40493</v>
      </c>
      <c r="N42" s="58" t="s">
        <v>149</v>
      </c>
      <c r="O42" s="56" t="s">
        <v>129</v>
      </c>
      <c r="Q42" s="62"/>
      <c r="S42" s="63">
        <f t="shared" si="0"/>
      </c>
      <c r="T42" s="63" t="str">
        <f t="shared" si="1"/>
        <v>Z</v>
      </c>
      <c r="U42" s="62"/>
      <c r="V42" s="64">
        <f t="shared" si="2"/>
      </c>
    </row>
    <row r="43" spans="1:22" s="70" customFormat="1" ht="25.5">
      <c r="A43" s="65">
        <v>190</v>
      </c>
      <c r="B43" s="66" t="s">
        <v>71</v>
      </c>
      <c r="C43" s="66" t="s">
        <v>72</v>
      </c>
      <c r="D43" s="65" t="s">
        <v>125</v>
      </c>
      <c r="E43" s="102" t="s">
        <v>73</v>
      </c>
      <c r="F43" s="102" t="s">
        <v>74</v>
      </c>
      <c r="G43" s="102" t="s">
        <v>75</v>
      </c>
      <c r="H43" s="102"/>
      <c r="I43" s="103" t="s">
        <v>76</v>
      </c>
      <c r="J43" s="104" t="s">
        <v>77</v>
      </c>
      <c r="K43" s="105" t="s">
        <v>272</v>
      </c>
      <c r="L43" s="68" t="s">
        <v>310</v>
      </c>
      <c r="M43" s="69"/>
      <c r="N43" s="67" t="s">
        <v>149</v>
      </c>
      <c r="O43" s="65" t="s">
        <v>129</v>
      </c>
      <c r="Q43" s="71"/>
      <c r="S43" s="72">
        <f t="shared" si="0"/>
      </c>
      <c r="T43" s="72" t="str">
        <f t="shared" si="1"/>
        <v>wp</v>
      </c>
      <c r="U43" s="71"/>
      <c r="V43" s="73">
        <f t="shared" si="2"/>
        <v>0</v>
      </c>
    </row>
    <row r="44" spans="1:22" s="70" customFormat="1" ht="25.5">
      <c r="A44" s="65">
        <v>702</v>
      </c>
      <c r="B44" s="66" t="s">
        <v>202</v>
      </c>
      <c r="C44" s="66" t="s">
        <v>72</v>
      </c>
      <c r="D44" s="65" t="s">
        <v>125</v>
      </c>
      <c r="E44" s="106">
        <v>6</v>
      </c>
      <c r="F44" s="106" t="s">
        <v>74</v>
      </c>
      <c r="G44" s="106">
        <v>67</v>
      </c>
      <c r="H44" s="107"/>
      <c r="I44" s="103" t="s">
        <v>210</v>
      </c>
      <c r="J44" s="104" t="s">
        <v>77</v>
      </c>
      <c r="K44" s="105" t="s">
        <v>272</v>
      </c>
      <c r="L44" s="68" t="s">
        <v>310</v>
      </c>
      <c r="M44" s="69"/>
      <c r="N44" s="67" t="s">
        <v>149</v>
      </c>
      <c r="O44" s="65" t="s">
        <v>129</v>
      </c>
      <c r="Q44" s="71"/>
      <c r="S44" s="72">
        <f t="shared" si="0"/>
      </c>
      <c r="T44" s="72" t="str">
        <f t="shared" si="1"/>
        <v>wp</v>
      </c>
      <c r="U44" s="71"/>
      <c r="V44" s="73">
        <f t="shared" si="2"/>
        <v>0</v>
      </c>
    </row>
    <row r="45" spans="1:22" s="70" customFormat="1" ht="114.75">
      <c r="A45" s="65">
        <v>211</v>
      </c>
      <c r="B45" s="66" t="s">
        <v>290</v>
      </c>
      <c r="C45" s="66" t="s">
        <v>62</v>
      </c>
      <c r="D45" s="65" t="s">
        <v>125</v>
      </c>
      <c r="E45" s="65">
        <v>6</v>
      </c>
      <c r="F45" s="65" t="s">
        <v>74</v>
      </c>
      <c r="G45" s="65">
        <v>68</v>
      </c>
      <c r="H45" s="65">
        <v>2</v>
      </c>
      <c r="I45" s="67" t="s">
        <v>292</v>
      </c>
      <c r="J45" s="67" t="s">
        <v>293</v>
      </c>
      <c r="K45" s="67" t="s">
        <v>327</v>
      </c>
      <c r="L45" s="68" t="s">
        <v>276</v>
      </c>
      <c r="M45" s="69"/>
      <c r="N45" s="67" t="s">
        <v>149</v>
      </c>
      <c r="O45" s="65" t="s">
        <v>129</v>
      </c>
      <c r="Q45" s="71"/>
      <c r="S45" s="72">
        <f t="shared" si="0"/>
      </c>
      <c r="T45" s="72" t="str">
        <f t="shared" si="1"/>
        <v>A</v>
      </c>
      <c r="U45" s="71"/>
      <c r="V45" s="73">
        <f t="shared" si="2"/>
      </c>
    </row>
    <row r="46" spans="1:22" s="70" customFormat="1" ht="76.5">
      <c r="A46" s="65">
        <v>614</v>
      </c>
      <c r="B46" s="66" t="s">
        <v>55</v>
      </c>
      <c r="C46" s="66" t="s">
        <v>56</v>
      </c>
      <c r="D46" s="65" t="s">
        <v>125</v>
      </c>
      <c r="E46" s="65">
        <v>6</v>
      </c>
      <c r="F46" s="65" t="s">
        <v>74</v>
      </c>
      <c r="G46" s="65">
        <v>68</v>
      </c>
      <c r="H46" s="65">
        <v>2</v>
      </c>
      <c r="I46" s="67" t="s">
        <v>57</v>
      </c>
      <c r="J46" s="67" t="s">
        <v>58</v>
      </c>
      <c r="K46" s="94" t="s">
        <v>189</v>
      </c>
      <c r="L46" s="68" t="s">
        <v>310</v>
      </c>
      <c r="M46" s="69"/>
      <c r="N46" s="67" t="s">
        <v>149</v>
      </c>
      <c r="O46" s="65"/>
      <c r="Q46" s="71"/>
      <c r="S46" s="72">
        <f t="shared" si="0"/>
      </c>
      <c r="T46" s="72" t="str">
        <f t="shared" si="1"/>
        <v>wp</v>
      </c>
      <c r="U46" s="71"/>
      <c r="V46" s="73">
        <f t="shared" si="2"/>
        <v>0</v>
      </c>
    </row>
    <row r="47" spans="1:22" s="70" customFormat="1" ht="25.5">
      <c r="A47" s="65">
        <v>842</v>
      </c>
      <c r="B47" s="66" t="s">
        <v>18</v>
      </c>
      <c r="C47" s="66" t="s">
        <v>68</v>
      </c>
      <c r="D47" s="65" t="s">
        <v>126</v>
      </c>
      <c r="E47" s="65">
        <v>6</v>
      </c>
      <c r="F47" s="65" t="s">
        <v>74</v>
      </c>
      <c r="G47" s="65">
        <v>68</v>
      </c>
      <c r="H47" s="65">
        <v>2</v>
      </c>
      <c r="I47" s="67" t="s">
        <v>28</v>
      </c>
      <c r="J47" s="67" t="s">
        <v>29</v>
      </c>
      <c r="K47" s="67" t="s">
        <v>342</v>
      </c>
      <c r="L47" s="68" t="s">
        <v>310</v>
      </c>
      <c r="M47" s="69"/>
      <c r="N47" s="67" t="s">
        <v>149</v>
      </c>
      <c r="O47" s="65" t="s">
        <v>66</v>
      </c>
      <c r="Q47" s="71"/>
      <c r="S47" s="72" t="str">
        <f t="shared" si="0"/>
        <v>wp</v>
      </c>
      <c r="T47" s="72">
        <f t="shared" si="1"/>
      </c>
      <c r="U47" s="71"/>
      <c r="V47" s="73">
        <f t="shared" si="2"/>
      </c>
    </row>
    <row r="48" spans="1:22" ht="76.5">
      <c r="A48" s="21">
        <v>843</v>
      </c>
      <c r="B48" s="19" t="s">
        <v>18</v>
      </c>
      <c r="C48" s="19" t="s">
        <v>68</v>
      </c>
      <c r="D48" s="21" t="s">
        <v>125</v>
      </c>
      <c r="E48" s="21">
        <v>6</v>
      </c>
      <c r="F48" s="21" t="s">
        <v>74</v>
      </c>
      <c r="G48" s="21">
        <v>68</v>
      </c>
      <c r="H48" s="21">
        <v>12</v>
      </c>
      <c r="I48" s="15" t="s">
        <v>30</v>
      </c>
      <c r="J48" s="15" t="s">
        <v>19</v>
      </c>
      <c r="K48" s="15" t="s">
        <v>330</v>
      </c>
      <c r="L48" s="46" t="s">
        <v>310</v>
      </c>
      <c r="N48" s="15" t="s">
        <v>149</v>
      </c>
      <c r="O48" s="21" t="s">
        <v>66</v>
      </c>
      <c r="S48" s="44">
        <f t="shared" si="0"/>
      </c>
      <c r="T48" s="44" t="str">
        <f t="shared" si="1"/>
        <v>wp</v>
      </c>
      <c r="V48" s="52">
        <f t="shared" si="2"/>
        <v>0</v>
      </c>
    </row>
    <row r="49" spans="1:22" ht="102">
      <c r="A49" s="21">
        <v>463</v>
      </c>
      <c r="B49" s="19" t="s">
        <v>92</v>
      </c>
      <c r="C49" s="19" t="s">
        <v>93</v>
      </c>
      <c r="D49" s="21" t="s">
        <v>125</v>
      </c>
      <c r="E49" s="21">
        <v>6</v>
      </c>
      <c r="F49" s="21" t="s">
        <v>74</v>
      </c>
      <c r="G49" s="21">
        <v>68</v>
      </c>
      <c r="H49" s="21">
        <v>12</v>
      </c>
      <c r="I49" s="15" t="s">
        <v>98</v>
      </c>
      <c r="J49" s="15" t="s">
        <v>94</v>
      </c>
      <c r="K49" s="51" t="s">
        <v>190</v>
      </c>
      <c r="L49" s="46" t="s">
        <v>310</v>
      </c>
      <c r="N49" s="15" t="s">
        <v>149</v>
      </c>
      <c r="O49" s="21" t="s">
        <v>129</v>
      </c>
      <c r="S49" s="44">
        <f t="shared" si="0"/>
      </c>
      <c r="T49" s="44" t="str">
        <f t="shared" si="1"/>
        <v>wp</v>
      </c>
      <c r="V49" s="52">
        <f t="shared" si="2"/>
        <v>0</v>
      </c>
    </row>
    <row r="50" spans="1:22" ht="255">
      <c r="A50" s="21">
        <v>483</v>
      </c>
      <c r="B50" s="19" t="s">
        <v>36</v>
      </c>
      <c r="C50" s="19" t="s">
        <v>37</v>
      </c>
      <c r="D50" s="21" t="s">
        <v>65</v>
      </c>
      <c r="E50" s="21">
        <v>6</v>
      </c>
      <c r="F50" s="21" t="s">
        <v>74</v>
      </c>
      <c r="G50" s="21">
        <v>68</v>
      </c>
      <c r="H50" s="21">
        <v>21</v>
      </c>
      <c r="I50" s="15" t="s">
        <v>332</v>
      </c>
      <c r="J50" s="15" t="s">
        <v>42</v>
      </c>
      <c r="K50" s="15" t="s">
        <v>343</v>
      </c>
      <c r="L50" s="46" t="s">
        <v>310</v>
      </c>
      <c r="N50" s="15" t="s">
        <v>149</v>
      </c>
      <c r="S50" s="44">
        <f t="shared" si="0"/>
      </c>
      <c r="T50" s="44" t="str">
        <f t="shared" si="1"/>
        <v>wp</v>
      </c>
      <c r="V50" s="52">
        <f t="shared" si="2"/>
        <v>0</v>
      </c>
    </row>
    <row r="51" spans="1:22" ht="114.75">
      <c r="A51" s="21">
        <v>994</v>
      </c>
      <c r="B51" s="19" t="s">
        <v>34</v>
      </c>
      <c r="C51" s="19" t="s">
        <v>35</v>
      </c>
      <c r="D51" s="21" t="s">
        <v>125</v>
      </c>
      <c r="E51" s="21">
        <v>6</v>
      </c>
      <c r="F51" s="21" t="s">
        <v>74</v>
      </c>
      <c r="G51" s="21">
        <v>68</v>
      </c>
      <c r="H51" s="21" t="s">
        <v>11</v>
      </c>
      <c r="I51" s="15" t="s">
        <v>12</v>
      </c>
      <c r="J51" s="15" t="s">
        <v>13</v>
      </c>
      <c r="K51" s="15" t="s">
        <v>347</v>
      </c>
      <c r="L51" s="46" t="s">
        <v>310</v>
      </c>
      <c r="N51" s="15" t="s">
        <v>149</v>
      </c>
      <c r="O51" s="21" t="s">
        <v>91</v>
      </c>
      <c r="S51" s="44">
        <f t="shared" si="0"/>
      </c>
      <c r="T51" s="44" t="str">
        <f t="shared" si="1"/>
        <v>wp</v>
      </c>
      <c r="V51" s="52">
        <f t="shared" si="2"/>
        <v>0</v>
      </c>
    </row>
    <row r="52" spans="1:22" ht="76.5">
      <c r="A52" s="21">
        <v>992</v>
      </c>
      <c r="B52" s="19" t="s">
        <v>34</v>
      </c>
      <c r="C52" s="19" t="s">
        <v>35</v>
      </c>
      <c r="D52" s="21" t="s">
        <v>125</v>
      </c>
      <c r="E52" s="21">
        <v>6</v>
      </c>
      <c r="F52" s="21" t="s">
        <v>74</v>
      </c>
      <c r="G52" s="21">
        <v>68</v>
      </c>
      <c r="H52" s="21" t="s">
        <v>8</v>
      </c>
      <c r="I52" s="15" t="s">
        <v>9</v>
      </c>
      <c r="J52" s="15" t="s">
        <v>10</v>
      </c>
      <c r="K52" s="15" t="s">
        <v>183</v>
      </c>
      <c r="L52" s="46" t="s">
        <v>310</v>
      </c>
      <c r="N52" s="15" t="s">
        <v>149</v>
      </c>
      <c r="O52" s="21" t="s">
        <v>129</v>
      </c>
      <c r="S52" s="44">
        <f t="shared" si="0"/>
      </c>
      <c r="T52" s="44" t="str">
        <f t="shared" si="1"/>
        <v>wp</v>
      </c>
      <c r="V52" s="52">
        <f t="shared" si="2"/>
        <v>0</v>
      </c>
    </row>
    <row r="53" spans="1:22" s="70" customFormat="1" ht="113.25" customHeight="1">
      <c r="A53" s="65">
        <v>191</v>
      </c>
      <c r="B53" s="66" t="s">
        <v>71</v>
      </c>
      <c r="C53" s="66" t="s">
        <v>72</v>
      </c>
      <c r="D53" s="65" t="s">
        <v>125</v>
      </c>
      <c r="E53" s="102" t="s">
        <v>73</v>
      </c>
      <c r="F53" s="102" t="s">
        <v>74</v>
      </c>
      <c r="G53" s="102" t="s">
        <v>78</v>
      </c>
      <c r="H53" s="102"/>
      <c r="I53" s="103" t="s">
        <v>79</v>
      </c>
      <c r="J53" s="104" t="s">
        <v>80</v>
      </c>
      <c r="K53" s="67" t="s">
        <v>351</v>
      </c>
      <c r="L53" s="68" t="s">
        <v>310</v>
      </c>
      <c r="M53" s="69"/>
      <c r="N53" s="67" t="s">
        <v>149</v>
      </c>
      <c r="O53" s="65" t="s">
        <v>129</v>
      </c>
      <c r="Q53" s="71"/>
      <c r="S53" s="72">
        <f t="shared" si="0"/>
      </c>
      <c r="T53" s="72" t="str">
        <f t="shared" si="1"/>
        <v>wp</v>
      </c>
      <c r="U53" s="71"/>
      <c r="V53" s="73">
        <f t="shared" si="2"/>
        <v>0</v>
      </c>
    </row>
    <row r="54" spans="1:22" s="70" customFormat="1" ht="293.25">
      <c r="A54" s="65">
        <v>703</v>
      </c>
      <c r="B54" s="66" t="s">
        <v>202</v>
      </c>
      <c r="C54" s="66" t="s">
        <v>72</v>
      </c>
      <c r="D54" s="65" t="s">
        <v>125</v>
      </c>
      <c r="E54" s="106">
        <v>6</v>
      </c>
      <c r="F54" s="106" t="s">
        <v>211</v>
      </c>
      <c r="G54" s="106">
        <v>68</v>
      </c>
      <c r="H54" s="107"/>
      <c r="I54" s="103" t="s">
        <v>212</v>
      </c>
      <c r="J54" s="104" t="s">
        <v>213</v>
      </c>
      <c r="K54" s="67" t="s">
        <v>350</v>
      </c>
      <c r="L54" s="68" t="s">
        <v>310</v>
      </c>
      <c r="M54" s="69"/>
      <c r="N54" s="67" t="s">
        <v>149</v>
      </c>
      <c r="O54" s="65" t="s">
        <v>129</v>
      </c>
      <c r="Q54" s="71"/>
      <c r="S54" s="72">
        <f t="shared" si="0"/>
      </c>
      <c r="T54" s="72" t="str">
        <f t="shared" si="1"/>
        <v>wp</v>
      </c>
      <c r="U54" s="71"/>
      <c r="V54" s="73">
        <f t="shared" si="2"/>
        <v>0</v>
      </c>
    </row>
    <row r="55" spans="1:22" ht="255">
      <c r="A55" s="21">
        <v>482</v>
      </c>
      <c r="B55" s="19" t="s">
        <v>36</v>
      </c>
      <c r="C55" s="19" t="s">
        <v>37</v>
      </c>
      <c r="D55" s="21" t="s">
        <v>65</v>
      </c>
      <c r="E55" s="21">
        <v>6</v>
      </c>
      <c r="F55" s="21" t="s">
        <v>130</v>
      </c>
      <c r="G55" s="21">
        <v>39</v>
      </c>
      <c r="H55" s="21">
        <v>35</v>
      </c>
      <c r="I55" s="15" t="s">
        <v>333</v>
      </c>
      <c r="J55" s="15" t="s">
        <v>41</v>
      </c>
      <c r="K55" s="15" t="s">
        <v>345</v>
      </c>
      <c r="L55" s="46" t="s">
        <v>310</v>
      </c>
      <c r="N55" s="15" t="s">
        <v>149</v>
      </c>
      <c r="S55" s="44">
        <f t="shared" si="0"/>
      </c>
      <c r="T55" s="44" t="str">
        <f t="shared" si="1"/>
        <v>wp</v>
      </c>
      <c r="V55" s="52">
        <f t="shared" si="2"/>
        <v>0</v>
      </c>
    </row>
    <row r="56" spans="1:22" ht="178.5">
      <c r="A56" s="45">
        <v>605</v>
      </c>
      <c r="B56" s="15" t="s">
        <v>45</v>
      </c>
      <c r="C56" s="15" t="s">
        <v>140</v>
      </c>
      <c r="D56" s="45" t="s">
        <v>125</v>
      </c>
      <c r="E56" s="45">
        <v>7</v>
      </c>
      <c r="F56" s="45" t="s">
        <v>321</v>
      </c>
      <c r="G56" s="45">
        <v>130</v>
      </c>
      <c r="H56" s="45"/>
      <c r="I56" s="15" t="s">
        <v>322</v>
      </c>
      <c r="J56" s="15" t="s">
        <v>323</v>
      </c>
      <c r="K56" s="15" t="s">
        <v>354</v>
      </c>
      <c r="L56" s="46" t="s">
        <v>310</v>
      </c>
      <c r="N56" s="55" t="s">
        <v>149</v>
      </c>
      <c r="O56" s="45"/>
      <c r="P56" s="47" t="s">
        <v>150</v>
      </c>
      <c r="V56" s="52"/>
    </row>
    <row r="57" spans="1:24" s="47" customFormat="1" ht="51">
      <c r="A57" s="45">
        <v>472</v>
      </c>
      <c r="B57" s="15" t="s">
        <v>92</v>
      </c>
      <c r="C57" s="15" t="s">
        <v>93</v>
      </c>
      <c r="D57" s="45" t="s">
        <v>125</v>
      </c>
      <c r="E57" s="45" t="s">
        <v>159</v>
      </c>
      <c r="F57" s="45" t="s">
        <v>160</v>
      </c>
      <c r="G57" s="45">
        <v>138</v>
      </c>
      <c r="H57" s="53">
        <v>14</v>
      </c>
      <c r="I57" s="15" t="s">
        <v>161</v>
      </c>
      <c r="J57" s="15" t="s">
        <v>162</v>
      </c>
      <c r="K57" s="15" t="s">
        <v>324</v>
      </c>
      <c r="L57" s="46" t="s">
        <v>310</v>
      </c>
      <c r="M57" s="54"/>
      <c r="N57" s="15" t="s">
        <v>149</v>
      </c>
      <c r="O57" s="45" t="s">
        <v>129</v>
      </c>
      <c r="P57" s="47" t="s">
        <v>150</v>
      </c>
      <c r="Q57" s="50"/>
      <c r="S57" s="45">
        <f>IF(D57="E",L57,"")</f>
      </c>
      <c r="T57" s="45" t="str">
        <f>IF(OR(D57="T",D57="G"),L57,"")</f>
        <v>wp</v>
      </c>
      <c r="U57" s="45">
        <f>IF(OR(T57="A",T57="AP",T57="R",T57="Z"),#REF!,"")</f>
      </c>
      <c r="V57" s="45" t="e">
        <f>IF(OR(T57=0,T57="wp"),#REF!,"")</f>
        <v>#REF!</v>
      </c>
      <c r="W57" s="48">
        <v>40492</v>
      </c>
      <c r="X57" s="49" t="str">
        <f>IF(OR(T57="rdy2vote",T57="wp"),P57,"")</f>
        <v>Chang</v>
      </c>
    </row>
    <row r="58" spans="1:15" ht="25.5">
      <c r="A58" s="45">
        <v>429</v>
      </c>
      <c r="B58" s="15" t="s">
        <v>92</v>
      </c>
      <c r="C58" s="15" t="s">
        <v>93</v>
      </c>
      <c r="D58" s="45" t="s">
        <v>125</v>
      </c>
      <c r="E58" s="45">
        <v>6</v>
      </c>
      <c r="F58" s="45" t="s">
        <v>136</v>
      </c>
      <c r="G58" s="45">
        <v>33</v>
      </c>
      <c r="H58" s="45">
        <v>7</v>
      </c>
      <c r="I58" s="15" t="s">
        <v>334</v>
      </c>
      <c r="J58" s="15" t="s">
        <v>335</v>
      </c>
      <c r="K58" s="15" t="s">
        <v>337</v>
      </c>
      <c r="M58" s="48"/>
      <c r="N58" s="21" t="s">
        <v>336</v>
      </c>
      <c r="O58" s="45" t="s">
        <v>129</v>
      </c>
    </row>
    <row r="59" spans="1:15" ht="25.5">
      <c r="A59" s="45">
        <v>727</v>
      </c>
      <c r="B59" s="108" t="s">
        <v>202</v>
      </c>
      <c r="C59" s="108" t="s">
        <v>72</v>
      </c>
      <c r="D59" s="109" t="s">
        <v>125</v>
      </c>
      <c r="E59" s="114">
        <v>7</v>
      </c>
      <c r="F59" s="114" t="s">
        <v>338</v>
      </c>
      <c r="G59" s="114">
        <v>110</v>
      </c>
      <c r="H59" s="115"/>
      <c r="I59" s="112" t="s">
        <v>164</v>
      </c>
      <c r="J59" s="113" t="s">
        <v>165</v>
      </c>
      <c r="K59" s="113" t="s">
        <v>339</v>
      </c>
      <c r="L59" s="110"/>
      <c r="M59" s="111"/>
      <c r="N59" s="55" t="s">
        <v>258</v>
      </c>
      <c r="O59" s="109" t="s">
        <v>129</v>
      </c>
    </row>
    <row r="60" spans="1:15" ht="38.25">
      <c r="A60" s="45">
        <v>728</v>
      </c>
      <c r="B60" s="108" t="s">
        <v>202</v>
      </c>
      <c r="C60" s="108" t="s">
        <v>72</v>
      </c>
      <c r="D60" s="109" t="s">
        <v>125</v>
      </c>
      <c r="E60" s="114">
        <v>7</v>
      </c>
      <c r="F60" s="114" t="s">
        <v>338</v>
      </c>
      <c r="G60" s="114">
        <v>110</v>
      </c>
      <c r="H60" s="115"/>
      <c r="I60" s="112" t="s">
        <v>166</v>
      </c>
      <c r="J60" s="113" t="s">
        <v>165</v>
      </c>
      <c r="K60" s="113" t="s">
        <v>349</v>
      </c>
      <c r="L60" s="110"/>
      <c r="M60" s="111"/>
      <c r="N60" s="55" t="s">
        <v>258</v>
      </c>
      <c r="O60" s="109" t="s">
        <v>129</v>
      </c>
    </row>
  </sheetData>
  <sheetProtection selectLockedCells="1" selectUnlockedCells="1"/>
  <autoFilter ref="A1:W57">
    <sortState ref="A2:W60">
      <sortCondition sortBy="fontColor" dxfId="0" ref="K2:K60"/>
    </sortState>
  </autoFilter>
  <printOptions/>
  <pageMargins left="0.75" right="0.75" top="1" bottom="1" header="0.5118055555555555" footer="0.511805555555555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dimension ref="A2:L62"/>
  <sheetViews>
    <sheetView zoomScalePageLayoutView="0" workbookViewId="0" topLeftCell="A1">
      <selection activeCell="A1" sqref="A1"/>
    </sheetView>
  </sheetViews>
  <sheetFormatPr defaultColWidth="9.140625" defaultRowHeight="13.5" customHeight="1"/>
  <cols>
    <col min="1" max="1" width="30.7109375" style="0" customWidth="1"/>
    <col min="4" max="4" width="30.7109375" style="0" customWidth="1"/>
    <col min="10" max="10" width="25.7109375" style="0" customWidth="1"/>
    <col min="11" max="11" width="12.7109375" style="0" customWidth="1"/>
  </cols>
  <sheetData>
    <row r="2" spans="1:6" ht="13.5" customHeight="1">
      <c r="A2" s="31" t="s">
        <v>229</v>
      </c>
      <c r="B2" s="32">
        <f>SUM(B3:B11)</f>
        <v>51</v>
      </c>
      <c r="D2" s="31" t="s">
        <v>243</v>
      </c>
      <c r="E2" s="32">
        <f>SUM(E3:E11)</f>
        <v>54</v>
      </c>
      <c r="F2" s="40" t="str">
        <f>IF(E2=COUNTA(Comments!A2:Comments!#REF!),"Computed Tally is Correct","Computed Tally is Incorrect")</f>
        <v>Computed Tally is Incorrect</v>
      </c>
    </row>
    <row r="3" spans="1:11" ht="13.5" customHeight="1">
      <c r="A3" s="33" t="s">
        <v>230</v>
      </c>
      <c r="B3" s="34">
        <f>COUNTIF(Comments!T$2:T$55,"rdy2vote")</f>
        <v>0</v>
      </c>
      <c r="D3" s="33" t="s">
        <v>230</v>
      </c>
      <c r="E3" s="34">
        <f aca="true" t="shared" si="0" ref="E3:E11">B3+B16</f>
        <v>0</v>
      </c>
      <c r="J3" s="30" t="s">
        <v>227</v>
      </c>
      <c r="K3" s="30" t="s">
        <v>228</v>
      </c>
    </row>
    <row r="4" spans="1:11" ht="13.5" customHeight="1">
      <c r="A4" s="33" t="s">
        <v>231</v>
      </c>
      <c r="B4" s="34">
        <f>COUNTIF(Comments!T$2:T$55,"wp")</f>
        <v>19</v>
      </c>
      <c r="D4" s="33" t="s">
        <v>231</v>
      </c>
      <c r="E4" s="34">
        <f t="shared" si="0"/>
        <v>20</v>
      </c>
      <c r="J4" s="16" t="s">
        <v>131</v>
      </c>
      <c r="K4" s="22">
        <f>IF((COUNTIF(Comments!B$2:B$55,J4))=0,"",COUNTIF(Comments!B$2:B$55,J4))</f>
      </c>
    </row>
    <row r="5" spans="1:11" ht="13.5" customHeight="1">
      <c r="A5" s="33" t="s">
        <v>232</v>
      </c>
      <c r="B5" s="34">
        <f>COUNTIF(Comments!T$2:T$55,"0")</f>
        <v>0</v>
      </c>
      <c r="D5" s="33" t="s">
        <v>232</v>
      </c>
      <c r="E5" s="34">
        <f t="shared" si="0"/>
        <v>0</v>
      </c>
      <c r="J5" t="s">
        <v>132</v>
      </c>
      <c r="K5" s="22">
        <f>IF((COUNTIF(Comments!B$2:B$55,J5))=0,"",COUNTIF(Comments!B$2:B$55,J5))</f>
        <v>1</v>
      </c>
    </row>
    <row r="6" spans="1:11" ht="13.5" customHeight="1">
      <c r="A6" s="17" t="s">
        <v>233</v>
      </c>
      <c r="B6" s="22">
        <f>COUNTIF(Comments!T$2:T$55,"A")</f>
        <v>3</v>
      </c>
      <c r="D6" s="17" t="s">
        <v>233</v>
      </c>
      <c r="E6" s="22">
        <f t="shared" si="0"/>
        <v>3</v>
      </c>
      <c r="J6" t="s">
        <v>139</v>
      </c>
      <c r="K6" s="22">
        <f>IF((COUNTIF(Comments!B$2:B$55,J6))=0,"",COUNTIF(Comments!B$2:B$55,J6))</f>
        <v>2</v>
      </c>
    </row>
    <row r="7" spans="1:11" ht="13.5" customHeight="1">
      <c r="A7" s="17" t="s">
        <v>234</v>
      </c>
      <c r="B7" s="22">
        <f>COUNTIF(Comments!T$2:T$55,"R")</f>
        <v>2</v>
      </c>
      <c r="D7" s="17" t="s">
        <v>234</v>
      </c>
      <c r="E7" s="22">
        <f t="shared" si="0"/>
        <v>2</v>
      </c>
      <c r="J7" t="s">
        <v>289</v>
      </c>
      <c r="K7" s="22">
        <f>IF((COUNTIF(Comments!B$2:B$55,J7))=0,"",COUNTIF(Comments!B$2:B$55,J7))</f>
      </c>
    </row>
    <row r="8" spans="1:11" ht="13.5" customHeight="1">
      <c r="A8" s="17" t="s">
        <v>235</v>
      </c>
      <c r="B8" s="22">
        <f>COUNTIF(Comments!T$2:T$55,"AP")</f>
        <v>22</v>
      </c>
      <c r="D8" s="17" t="s">
        <v>235</v>
      </c>
      <c r="E8" s="22">
        <f t="shared" si="0"/>
        <v>24</v>
      </c>
      <c r="J8" t="s">
        <v>193</v>
      </c>
      <c r="K8" s="22">
        <f>IF((COUNTIF(Comments!B$2:B$55,J8))=0,"",COUNTIF(Comments!B$2:B$55,J8))</f>
      </c>
    </row>
    <row r="9" spans="1:11" ht="13.5" customHeight="1">
      <c r="A9" s="17" t="s">
        <v>236</v>
      </c>
      <c r="B9" s="22">
        <f>COUNTIF(Comments!T$2:T$55,"Z")</f>
        <v>5</v>
      </c>
      <c r="D9" s="17" t="s">
        <v>236</v>
      </c>
      <c r="E9" s="22">
        <f t="shared" si="0"/>
        <v>5</v>
      </c>
      <c r="J9" t="s">
        <v>192</v>
      </c>
      <c r="K9" s="22">
        <f>IF((COUNTIF(Comments!B$2:B$55,J9))=0,"",COUNTIF(Comments!B$2:B$55,J9))</f>
      </c>
    </row>
    <row r="10" spans="1:11" ht="13.5" customHeight="1">
      <c r="A10" t="s">
        <v>237</v>
      </c>
      <c r="B10" s="22">
        <f>COUNTIF(Comments!T$2:T$55,"Out Of Scope")</f>
        <v>0</v>
      </c>
      <c r="D10" t="s">
        <v>237</v>
      </c>
      <c r="E10" s="22">
        <f t="shared" si="0"/>
        <v>0</v>
      </c>
      <c r="J10" t="s">
        <v>127</v>
      </c>
      <c r="K10" s="22">
        <f>IF((COUNTIF(Comments!B$2:B$55,J10))=0,"",COUNTIF(Comments!B$2:B$55,J10))</f>
        <v>1</v>
      </c>
    </row>
    <row r="11" spans="1:11" ht="13.5" customHeight="1">
      <c r="A11" t="s">
        <v>238</v>
      </c>
      <c r="B11" s="22">
        <f>COUNTIF(Comments!T$2:T$55,"Unresolveable")</f>
        <v>0</v>
      </c>
      <c r="D11" t="s">
        <v>238</v>
      </c>
      <c r="E11" s="22">
        <f t="shared" si="0"/>
        <v>0</v>
      </c>
      <c r="J11" t="s">
        <v>64</v>
      </c>
      <c r="K11" s="22">
        <f>IF((COUNTIF(Comments!B$2:B$55,J11))=0,"",COUNTIF(Comments!B$2:B$55,J11))</f>
      </c>
    </row>
    <row r="12" spans="1:11" ht="13.5" customHeight="1">
      <c r="A12" t="s">
        <v>239</v>
      </c>
      <c r="B12" s="35">
        <f>SUM(B6:B11)</f>
        <v>32</v>
      </c>
      <c r="D12" t="s">
        <v>244</v>
      </c>
      <c r="E12" s="35">
        <f>SUM(E6:E11)</f>
        <v>34</v>
      </c>
      <c r="J12" t="s">
        <v>67</v>
      </c>
      <c r="K12" s="22">
        <f>IF((COUNTIF(Comments!B$2:B$55,J12))=0,"",COUNTIF(Comments!B$2:B$55,J12))</f>
      </c>
    </row>
    <row r="13" spans="1:11" ht="13.5" customHeight="1">
      <c r="A13" t="s">
        <v>240</v>
      </c>
      <c r="B13" s="36">
        <f>B12/B2</f>
        <v>0.6274509803921569</v>
      </c>
      <c r="D13" t="s">
        <v>245</v>
      </c>
      <c r="E13" s="36">
        <f>E12/E2</f>
        <v>0.6296296296296297</v>
      </c>
      <c r="J13" t="s">
        <v>69</v>
      </c>
      <c r="K13" s="22">
        <f>IF((COUNTIF(Comments!B$2:B$55,J13))=0,"",COUNTIF(Comments!B$2:B$55,J13))</f>
      </c>
    </row>
    <row r="14" spans="2:11" ht="13.5" customHeight="1">
      <c r="B14" s="22"/>
      <c r="J14" t="s">
        <v>70</v>
      </c>
      <c r="K14" s="22">
        <f>IF((COUNTIF(Comments!B$2:B$55,J14))=0,"",COUNTIF(Comments!B$2:B$55,J14))</f>
      </c>
    </row>
    <row r="15" spans="1:11" ht="13.5" customHeight="1">
      <c r="A15" s="31" t="s">
        <v>128</v>
      </c>
      <c r="B15" s="32">
        <f>SUM(B16:B24)</f>
        <v>3</v>
      </c>
      <c r="D15" s="31" t="s">
        <v>246</v>
      </c>
      <c r="F15" s="37"/>
      <c r="J15" t="s">
        <v>71</v>
      </c>
      <c r="K15" s="22">
        <f>IF((COUNTIF(Comments!B$2:B$55,J15))=0,"",COUNTIF(Comments!B$2:B$55,J15))</f>
        <v>2</v>
      </c>
    </row>
    <row r="16" spans="1:11" ht="13.5" customHeight="1">
      <c r="A16" s="33" t="s">
        <v>230</v>
      </c>
      <c r="B16" s="34">
        <f>COUNTIF(Comments!S$2:S$55,"rdy2vote")</f>
        <v>0</v>
      </c>
      <c r="D16" s="18" t="s">
        <v>247</v>
      </c>
      <c r="E16" s="38">
        <f>COUNTIF(Comments!N$2:N$55,"Bit Order")</f>
        <v>0</v>
      </c>
      <c r="F16" s="39"/>
      <c r="J16" t="s">
        <v>290</v>
      </c>
      <c r="K16" s="22">
        <f>IF((COUNTIF(Comments!B$2:B$55,J16))=0,"",COUNTIF(Comments!B$2:B$55,J16))</f>
        <v>10</v>
      </c>
    </row>
    <row r="17" spans="1:11" ht="13.5" customHeight="1">
      <c r="A17" s="33" t="s">
        <v>231</v>
      </c>
      <c r="B17" s="34">
        <f>COUNTIF(Comments!S$2:S$55,"wp")</f>
        <v>1</v>
      </c>
      <c r="D17" s="18" t="s">
        <v>248</v>
      </c>
      <c r="E17" s="17">
        <f>COUNTIF(Comments!N$2:N$55,"Channel Allocation")</f>
        <v>0</v>
      </c>
      <c r="F17" s="39"/>
      <c r="J17" t="s">
        <v>81</v>
      </c>
      <c r="K17" s="22">
        <f>IF((COUNTIF(Comments!B$2:B$55,J17))=0,"",COUNTIF(Comments!B$2:B$55,J17))</f>
        <v>3</v>
      </c>
    </row>
    <row r="18" spans="1:11" ht="13.5" customHeight="1">
      <c r="A18" s="33" t="s">
        <v>232</v>
      </c>
      <c r="B18" s="34">
        <f>COUNTIF(Comments!S$2:S$55,"0")</f>
        <v>0</v>
      </c>
      <c r="D18" s="18" t="s">
        <v>249</v>
      </c>
      <c r="E18" s="17">
        <f>COUNTIF(Comments!N$2:N$55,"Channel Page")</f>
        <v>0</v>
      </c>
      <c r="F18" s="39"/>
      <c r="J18" t="s">
        <v>87</v>
      </c>
      <c r="K18" s="22">
        <f>IF((COUNTIF(Comments!B$2:B$55,J18))=0,"",COUNTIF(Comments!B$2:B$55,J18))</f>
      </c>
    </row>
    <row r="19" spans="1:11" ht="13.5" customHeight="1">
      <c r="A19" s="17" t="s">
        <v>233</v>
      </c>
      <c r="B19" s="22">
        <f>COUNTIF(Comments!S$2:S$55,"A")</f>
        <v>0</v>
      </c>
      <c r="D19" s="18" t="s">
        <v>250</v>
      </c>
      <c r="E19" s="17">
        <f>COUNTIF(Comments!N$2:N$55,"Channelization")</f>
        <v>0</v>
      </c>
      <c r="F19" s="39"/>
      <c r="J19" t="s">
        <v>124</v>
      </c>
      <c r="K19" s="22">
        <f>IF((COUNTIF(Comments!B$2:B$55,J19))=0,"",COUNTIF(Comments!B$2:B$55,J19))</f>
      </c>
    </row>
    <row r="20" spans="1:11" ht="13.5" customHeight="1">
      <c r="A20" s="17" t="s">
        <v>234</v>
      </c>
      <c r="B20" s="22">
        <f>COUNTIF(Comments!S$2:S$55,"R")</f>
        <v>0</v>
      </c>
      <c r="D20" s="18" t="s">
        <v>251</v>
      </c>
      <c r="E20" s="17">
        <f>COUNTIF(Comments!N$2:N$55,"Coexistence")</f>
        <v>0</v>
      </c>
      <c r="F20" s="39"/>
      <c r="J20" t="s">
        <v>88</v>
      </c>
      <c r="K20" s="22">
        <f>IF((COUNTIF(Comments!B$2:B$55,J20))=0,"",COUNTIF(Comments!B$2:B$55,J20))</f>
      </c>
    </row>
    <row r="21" spans="1:11" ht="13.5" customHeight="1">
      <c r="A21" s="17" t="s">
        <v>235</v>
      </c>
      <c r="B21" s="22">
        <f>COUNTIF(Comments!S$2:S$55,"AP")</f>
        <v>2</v>
      </c>
      <c r="D21" s="18" t="s">
        <v>252</v>
      </c>
      <c r="E21" s="17">
        <f>COUNTIF(Comments!N$2:N$55,"CSM")</f>
        <v>0</v>
      </c>
      <c r="F21" s="39"/>
      <c r="J21" t="s">
        <v>92</v>
      </c>
      <c r="K21" s="22">
        <f>IF((COUNTIF(Comments!B$2:B$55,J21))=0,"",COUNTIF(Comments!B$2:B$55,J21))</f>
        <v>2</v>
      </c>
    </row>
    <row r="22" spans="1:11" ht="13.5" customHeight="1">
      <c r="A22" s="17" t="s">
        <v>236</v>
      </c>
      <c r="B22" s="22">
        <f>COUNTIF(Comments!S$2:S$55,"Z")</f>
        <v>0</v>
      </c>
      <c r="D22" s="18" t="s">
        <v>253</v>
      </c>
      <c r="E22" s="17">
        <f>COUNTIF(Comments!N$2:N$55,"Data Rate")</f>
        <v>0</v>
      </c>
      <c r="F22" s="39"/>
      <c r="J22" t="s">
        <v>36</v>
      </c>
      <c r="K22" s="22">
        <f>IF((COUNTIF(Comments!B$2:B$55,J22))=0,"",COUNTIF(Comments!B$2:B$55,J22))</f>
        <v>3</v>
      </c>
    </row>
    <row r="23" spans="1:11" ht="13.5" customHeight="1">
      <c r="A23" t="s">
        <v>237</v>
      </c>
      <c r="B23" s="22">
        <f>COUNTIF(Comments!S$2:S$55,"Out Of Scope")</f>
        <v>0</v>
      </c>
      <c r="D23" s="14" t="s">
        <v>128</v>
      </c>
      <c r="E23" s="38">
        <f>COUNTIF(Comments!N$2:N$55,"Editorial")</f>
        <v>0</v>
      </c>
      <c r="F23" s="39"/>
      <c r="J23" t="s">
        <v>194</v>
      </c>
      <c r="K23" s="22">
        <f>IF((COUNTIF(Comments!B$2:B$55,J23))=0,"",COUNTIF(Comments!B$2:B$55,J23))</f>
      </c>
    </row>
    <row r="24" spans="1:11" ht="13.5" customHeight="1">
      <c r="A24" t="s">
        <v>238</v>
      </c>
      <c r="B24" s="22">
        <f>COUNTIF(Comments!S$2:S$55,"Unresolveable")</f>
        <v>0</v>
      </c>
      <c r="D24" s="18" t="s">
        <v>254</v>
      </c>
      <c r="E24" s="38">
        <f>COUNTIF(Comments!N$2:N$55,"FEC")</f>
        <v>0</v>
      </c>
      <c r="F24" s="39"/>
      <c r="J24" t="s">
        <v>195</v>
      </c>
      <c r="K24" s="22">
        <f>IF((COUNTIF(Comments!B$2:B$55,J24))=0,"",COUNTIF(Comments!B$2:B$55,J24))</f>
      </c>
    </row>
    <row r="25" spans="1:11" ht="13.5" customHeight="1">
      <c r="A25" t="s">
        <v>241</v>
      </c>
      <c r="B25" s="35">
        <f>SUM(B19:B24)</f>
        <v>2</v>
      </c>
      <c r="D25" s="18" t="s">
        <v>255</v>
      </c>
      <c r="E25" s="38">
        <f>COUNTIF(Comments!N$2:N$55,"FH")</f>
        <v>0</v>
      </c>
      <c r="F25" s="39"/>
      <c r="J25" t="s">
        <v>44</v>
      </c>
      <c r="K25" s="22">
        <f>IF((COUNTIF(Comments!B$2:B$55,J25))=0,"",COUNTIF(Comments!B$2:B$55,J25))</f>
      </c>
    </row>
    <row r="26" spans="1:11" ht="13.5" customHeight="1">
      <c r="A26" t="s">
        <v>242</v>
      </c>
      <c r="B26" s="36">
        <f>B25/B15</f>
        <v>0.6666666666666666</v>
      </c>
      <c r="D26" s="18" t="s">
        <v>256</v>
      </c>
      <c r="E26" s="38">
        <f>COUNTIF(Comments!N$2:N$55,"FSK")</f>
        <v>0</v>
      </c>
      <c r="F26" s="39"/>
      <c r="J26" t="s">
        <v>63</v>
      </c>
      <c r="K26" s="22">
        <f>IF((COUNTIF(Comments!B$2:B$55,J26))=0,"",COUNTIF(Comments!B$2:B$55,J26))</f>
      </c>
    </row>
    <row r="27" spans="2:11" ht="13.5" customHeight="1">
      <c r="B27" s="22"/>
      <c r="D27" s="18" t="s">
        <v>257</v>
      </c>
      <c r="E27" s="38">
        <f>COUNTIF(Comments!N$2:N$55,"Generic PHY")</f>
        <v>0</v>
      </c>
      <c r="F27" s="39"/>
      <c r="J27" t="s">
        <v>45</v>
      </c>
      <c r="K27" s="22">
        <f>IF((COUNTIF(Comments!B$2:B$55,J27))=0,"",COUNTIF(Comments!B$2:B$55,J27))</f>
        <v>3</v>
      </c>
    </row>
    <row r="28" spans="2:11" ht="13.5" customHeight="1">
      <c r="B28" s="22"/>
      <c r="D28" s="18" t="s">
        <v>258</v>
      </c>
      <c r="E28" s="38">
        <f>COUNTIF(Comments!N$2:N$55,"MAC")</f>
        <v>0</v>
      </c>
      <c r="F28" s="39"/>
      <c r="J28" t="s">
        <v>55</v>
      </c>
      <c r="K28" s="22">
        <f>IF((COUNTIF(Comments!B$2:B$55,J28))=0,"",COUNTIF(Comments!B$2:B$55,J28))</f>
        <v>1</v>
      </c>
    </row>
    <row r="29" spans="2:11" ht="13.5" customHeight="1">
      <c r="B29" s="22"/>
      <c r="D29" s="18" t="s">
        <v>40</v>
      </c>
      <c r="E29" s="17">
        <f>COUNTIF(Comments!N$2:N$55,"Modulation")</f>
        <v>0</v>
      </c>
      <c r="F29" s="39"/>
      <c r="J29" t="s">
        <v>59</v>
      </c>
      <c r="K29" s="22">
        <f>IF((COUNTIF(Comments!B$2:B$55,J29))=0,"",COUNTIF(Comments!B$2:B$55,J29))</f>
      </c>
    </row>
    <row r="30" spans="2:11" ht="13.5" customHeight="1">
      <c r="B30" s="22"/>
      <c r="D30" s="14" t="s">
        <v>259</v>
      </c>
      <c r="E30" s="17">
        <f>COUNTIF(Comments!N$2:N$55,"Minor T&amp;G")</f>
        <v>0</v>
      </c>
      <c r="F30" s="39"/>
      <c r="J30" t="s">
        <v>60</v>
      </c>
      <c r="K30" s="22">
        <f>IF((COUNTIF(Comments!B$2:B$55,J30))=0,"",COUNTIF(Comments!B$2:B$55,J30))</f>
      </c>
    </row>
    <row r="31" spans="2:11" ht="13.5" customHeight="1">
      <c r="B31" s="22"/>
      <c r="D31" s="18" t="s">
        <v>260</v>
      </c>
      <c r="E31" s="17">
        <f>COUNTIF(Comments!N$2:N$55,"OFDM")</f>
        <v>0</v>
      </c>
      <c r="F31" s="39"/>
      <c r="J31" t="s">
        <v>61</v>
      </c>
      <c r="K31" s="22">
        <f>IF((COUNTIF(Comments!B$2:B$55,J31))=0,"",COUNTIF(Comments!B$2:B$55,J31))</f>
      </c>
    </row>
    <row r="32" spans="2:11" ht="13.5" customHeight="1">
      <c r="B32" s="22"/>
      <c r="D32" s="18" t="s">
        <v>261</v>
      </c>
      <c r="E32">
        <f>COUNTIF(Comments!N$2:N$55,"OQPSK")</f>
        <v>0</v>
      </c>
      <c r="F32" s="39"/>
      <c r="J32" t="s">
        <v>281</v>
      </c>
      <c r="K32" s="22">
        <f>IF((COUNTIF(Comments!B$2:B$55,J32))=0,"",COUNTIF(Comments!B$2:B$55,J32))</f>
      </c>
    </row>
    <row r="33" spans="2:11" ht="13.5" customHeight="1">
      <c r="B33" s="22"/>
      <c r="D33" s="18" t="s">
        <v>262</v>
      </c>
      <c r="E33" s="38">
        <f>COUNTIF(Comments!N$2:N$55,"Preamble")</f>
        <v>0</v>
      </c>
      <c r="F33" s="39"/>
      <c r="J33" t="s">
        <v>202</v>
      </c>
      <c r="K33" s="22">
        <f>IF((COUNTIF(Comments!B$2:B$55,J33))=0,"",COUNTIF(Comments!B$2:B$55,J33))</f>
        <v>8</v>
      </c>
    </row>
    <row r="34" spans="2:11" ht="13.5" customHeight="1">
      <c r="B34" s="22"/>
      <c r="D34" s="18" t="s">
        <v>43</v>
      </c>
      <c r="E34" s="17">
        <f>COUNTIF(Comments!N$2:N$55,"Radio Specification")</f>
        <v>0</v>
      </c>
      <c r="F34" s="39"/>
      <c r="J34" t="s">
        <v>18</v>
      </c>
      <c r="K34" s="22">
        <f>IF((COUNTIF(Comments!B$2:B$55,J34))=0,"",COUNTIF(Comments!B$2:B$55,J34))</f>
        <v>12</v>
      </c>
    </row>
    <row r="35" spans="2:11" ht="13.5" customHeight="1">
      <c r="B35" s="22"/>
      <c r="D35" s="18" t="s">
        <v>263</v>
      </c>
      <c r="E35" s="38">
        <f>COUNTIF(Comments!N$2:N$55,"Scrambling")</f>
        <v>0</v>
      </c>
      <c r="F35" s="39"/>
      <c r="J35" t="s">
        <v>31</v>
      </c>
      <c r="K35" s="22">
        <f>IF((COUNTIF(Comments!B$2:B$55,J35))=0,"",COUNTIF(Comments!B$2:B$55,J35))</f>
      </c>
    </row>
    <row r="36" spans="2:11" ht="13.5" customHeight="1">
      <c r="B36" s="22"/>
      <c r="D36" s="18" t="s">
        <v>264</v>
      </c>
      <c r="E36" s="17">
        <f>COUNTIF(Comments!N$2:N$55,"SFD")</f>
        <v>0</v>
      </c>
      <c r="F36" s="39"/>
      <c r="J36" t="s">
        <v>32</v>
      </c>
      <c r="K36" s="22">
        <f>IF((COUNTIF(Comments!B$2:B$55,J36))=0,"",COUNTIF(Comments!B$2:B$55,J36))</f>
      </c>
    </row>
    <row r="37" spans="2:11" ht="13.5" customHeight="1">
      <c r="B37" s="22"/>
      <c r="D37" s="18" t="s">
        <v>265</v>
      </c>
      <c r="E37" s="17">
        <f>COUNTIF(Comments!N$2:N$55,"Switching")</f>
        <v>0</v>
      </c>
      <c r="F37" s="39"/>
      <c r="J37" t="s">
        <v>33</v>
      </c>
      <c r="K37" s="22">
        <f>IF((COUNTIF(Comments!B$2:B$55,J37))=0,"",COUNTIF(Comments!B$2:B$55,J37))</f>
      </c>
    </row>
    <row r="38" spans="2:11" ht="13.5" customHeight="1">
      <c r="B38" s="22"/>
      <c r="D38" s="43" t="s">
        <v>271</v>
      </c>
      <c r="E38" s="17">
        <f>COUNTIF(Comments!N$2:N$55,"")</f>
        <v>0</v>
      </c>
      <c r="J38" t="s">
        <v>34</v>
      </c>
      <c r="K38" s="22">
        <f>IF((COUNTIF(Comments!B$2:B$55,J38))=0,"",COUNTIF(Comments!B$2:B$55,J38))</f>
        <v>4</v>
      </c>
    </row>
    <row r="39" spans="2:11" ht="13.5" customHeight="1">
      <c r="B39" s="22"/>
      <c r="D39" s="30" t="s">
        <v>266</v>
      </c>
      <c r="E39" s="30">
        <f>SUM(E16:E38)</f>
        <v>0</v>
      </c>
      <c r="F39" s="40" t="str">
        <f>IF(E39=COUNTA(Comments!A2:Comments!#REF!),"Computed Tally is Correct","Computed Tally is Incorrect")</f>
        <v>Computed Tally is Incorrect</v>
      </c>
      <c r="J39" t="s">
        <v>14</v>
      </c>
      <c r="K39" s="22">
        <f>IF((COUNTIF(Comments!B$2:B$55,J39))=0,"",COUNTIF(Comments!B$2:B$55,J39))</f>
      </c>
    </row>
    <row r="40" spans="1:11" ht="13.5" customHeight="1">
      <c r="A40" s="41" t="s">
        <v>267</v>
      </c>
      <c r="B40" s="22"/>
      <c r="J40" t="s">
        <v>196</v>
      </c>
      <c r="K40" s="22">
        <f>IF((COUNTIF(Comments!B$2:B$55,J40))=0,"",COUNTIF(Comments!B$2:B$55,J40))</f>
      </c>
    </row>
    <row r="41" spans="1:11" ht="13.5" customHeight="1">
      <c r="A41" s="16" t="s">
        <v>270</v>
      </c>
      <c r="B41" s="22"/>
      <c r="J41" t="s">
        <v>90</v>
      </c>
      <c r="K41" s="22">
        <f>IF((COUNTIF(Comments!B$2:B$55,J41))=0,"",COUNTIF(Comments!B$2:B$55,J41))</f>
      </c>
    </row>
    <row r="42" spans="1:11" ht="13.5" customHeight="1">
      <c r="A42" s="16" t="s">
        <v>270</v>
      </c>
      <c r="B42" s="22"/>
      <c r="J42" t="s">
        <v>15</v>
      </c>
      <c r="K42" s="22">
        <f>IF((COUNTIF(Comments!B$2:B$55,J42))=0,"",COUNTIF(Comments!B$2:B$55,J42))</f>
      </c>
    </row>
    <row r="43" spans="1:11" ht="13.5" customHeight="1">
      <c r="A43" s="16" t="s">
        <v>270</v>
      </c>
      <c r="B43" s="22"/>
      <c r="J43" t="s">
        <v>16</v>
      </c>
      <c r="K43" s="22">
        <f>IF((COUNTIF(Comments!B$2:B$55,J43))=0,"",COUNTIF(Comments!B$2:B$55,J43))</f>
      </c>
    </row>
    <row r="44" spans="1:11" ht="13.5" customHeight="1">
      <c r="A44" s="16" t="s">
        <v>270</v>
      </c>
      <c r="B44" s="22"/>
      <c r="J44" t="s">
        <v>17</v>
      </c>
      <c r="K44" s="22">
        <f>IF((COUNTIF(Comments!B$2:B$55,J44))=0,"",COUNTIF(Comments!B$2:B$55,J44))</f>
      </c>
    </row>
    <row r="45" spans="1:11" ht="13.5" customHeight="1">
      <c r="A45" s="16" t="s">
        <v>270</v>
      </c>
      <c r="B45" s="22"/>
      <c r="J45" t="s">
        <v>197</v>
      </c>
      <c r="K45" s="22">
        <f>IF((COUNTIF(Comments!B$2:B$55,J45))=0,"",COUNTIF(Comments!B$2:B$55,J45))</f>
        <v>1</v>
      </c>
    </row>
    <row r="46" spans="1:11" ht="13.5" customHeight="1">
      <c r="A46" s="16" t="s">
        <v>270</v>
      </c>
      <c r="B46" s="22"/>
      <c r="J46" t="s">
        <v>198</v>
      </c>
      <c r="K46" s="22">
        <f>IF((COUNTIF(Comments!B$2:B$55,J46))=0,"",COUNTIF(Comments!B$2:B$55,J46))</f>
      </c>
    </row>
    <row r="47" spans="1:11" ht="13.5" customHeight="1">
      <c r="A47" s="16" t="s">
        <v>270</v>
      </c>
      <c r="B47" s="22"/>
      <c r="J47" t="s">
        <v>282</v>
      </c>
      <c r="K47" s="22">
        <f>IF((COUNTIF(Comments!B$2:B$55,J47))=0,"",COUNTIF(Comments!B$2:B$55,J47))</f>
      </c>
    </row>
    <row r="48" spans="1:11" ht="13.5" customHeight="1">
      <c r="A48" s="16" t="s">
        <v>270</v>
      </c>
      <c r="J48" t="s">
        <v>283</v>
      </c>
      <c r="K48" s="22">
        <f>IF((COUNTIF(Comments!B$2:B$55,J48))=0,"",COUNTIF(Comments!B$2:B$55,J48))</f>
      </c>
    </row>
    <row r="49" spans="1:11" ht="13.5" customHeight="1">
      <c r="A49" s="16" t="s">
        <v>270</v>
      </c>
      <c r="J49" t="s">
        <v>284</v>
      </c>
      <c r="K49" s="22">
        <f>IF((COUNTIF(Comments!B$2:B$55,J49))=0,"",COUNTIF(Comments!B$2:B$55,J49))</f>
        <v>1</v>
      </c>
    </row>
    <row r="50" spans="1:11" ht="13.5" customHeight="1">
      <c r="A50" s="16" t="s">
        <v>270</v>
      </c>
      <c r="B50" s="22"/>
      <c r="J50" t="s">
        <v>199</v>
      </c>
      <c r="K50" s="22">
        <f>IF((COUNTIF(Comments!B$2:B$55,J50))=0,"",COUNTIF(Comments!B$2:B$55,J50))</f>
      </c>
    </row>
    <row r="51" spans="1:11" ht="13.5" customHeight="1">
      <c r="A51" s="16" t="s">
        <v>270</v>
      </c>
      <c r="B51" s="22"/>
      <c r="J51" t="s">
        <v>200</v>
      </c>
      <c r="K51" s="22">
        <f>IF((COUNTIF(Comments!B$2:B$55,J51))=0,"",COUNTIF(Comments!B$2:B$55,J51))</f>
      </c>
    </row>
    <row r="52" spans="1:12" ht="13.5" customHeight="1">
      <c r="A52" s="16" t="s">
        <v>270</v>
      </c>
      <c r="J52">
        <f>COUNTA(J4:J51)</f>
        <v>48</v>
      </c>
      <c r="K52" s="30">
        <f>SUM(K4:K51)</f>
        <v>54</v>
      </c>
      <c r="L52" s="40" t="str">
        <f>IF(K52=COUNTA(Comments!A2:Comments!#REF!),"Computed Tally is Correct","Computed Tally is Incorrect")</f>
        <v>Computed Tally is Incorrect</v>
      </c>
    </row>
    <row r="53" ht="13.5" customHeight="1">
      <c r="A53" s="16" t="s">
        <v>270</v>
      </c>
    </row>
    <row r="54" ht="13.5" customHeight="1">
      <c r="A54" s="16" t="s">
        <v>270</v>
      </c>
    </row>
    <row r="55" ht="13.5" customHeight="1">
      <c r="A55" s="16" t="s">
        <v>270</v>
      </c>
    </row>
    <row r="56" ht="13.5" customHeight="1">
      <c r="A56" s="16" t="s">
        <v>270</v>
      </c>
    </row>
    <row r="57" ht="13.5" customHeight="1">
      <c r="A57" s="16" t="s">
        <v>270</v>
      </c>
    </row>
    <row r="58" ht="13.5" customHeight="1">
      <c r="A58" s="16" t="s">
        <v>270</v>
      </c>
    </row>
    <row r="59" ht="13.5" customHeight="1">
      <c r="A59" s="16" t="s">
        <v>270</v>
      </c>
    </row>
    <row r="60" ht="13.5" customHeight="1">
      <c r="A60" s="16" t="s">
        <v>270</v>
      </c>
    </row>
    <row r="61" spans="1:2" ht="13.5" customHeight="1">
      <c r="A61" s="20" t="s">
        <v>268</v>
      </c>
      <c r="B61" s="35">
        <f>SUM(B41:B60)</f>
        <v>0</v>
      </c>
    </row>
    <row r="62" spans="1:2" ht="13.5" customHeight="1">
      <c r="A62" t="s">
        <v>269</v>
      </c>
      <c r="B62" s="42">
        <f>B61/(B3+B4)</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Chang, Kuor-Hsin</cp:lastModifiedBy>
  <dcterms:created xsi:type="dcterms:W3CDTF">2010-11-09T00:12:34Z</dcterms:created>
  <dcterms:modified xsi:type="dcterms:W3CDTF">2011-01-20T00:57:30Z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-283487782</vt:i4>
  </property>
  <property fmtid="{D5CDD505-2E9C-101B-9397-08002B2CF9AE}" pid="3" name="_NewReviewCycle">
    <vt:lpwstr/>
  </property>
  <property fmtid="{D5CDD505-2E9C-101B-9397-08002B2CF9AE}" pid="4" name="_EmailSubject">
    <vt:lpwstr>LB59-802.19WG-NO</vt:lpwstr>
  </property>
  <property fmtid="{D5CDD505-2E9C-101B-9397-08002B2CF9AE}" pid="5" name="_AuthorEmail">
    <vt:lpwstr>sshellha@qualcomm.com</vt:lpwstr>
  </property>
  <property fmtid="{D5CDD505-2E9C-101B-9397-08002B2CF9AE}" pid="6" name="_AuthorEmailDisplayName">
    <vt:lpwstr>Shellhammer, Steve</vt:lpwstr>
  </property>
  <property fmtid="{D5CDD505-2E9C-101B-9397-08002B2CF9AE}" pid="7" name="_ReviewingToolsShownOnce">
    <vt:lpwstr/>
  </property>
</Properties>
</file>