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25" windowHeight="8085" tabRatio="480" activeTab="1"/>
  </bookViews>
  <sheets>
    <sheet name="IEEE_Cover" sheetId="1" r:id="rId1"/>
    <sheet name="Comments" sheetId="2" r:id="rId2"/>
    <sheet name="Summary" sheetId="3" r:id="rId3"/>
  </sheets>
  <definedNames>
    <definedName name="_xlnm._FilterDatabase" localSheetId="1" hidden="1">'Comments'!$A$1:$W$57</definedName>
  </definedNames>
  <calcPr fullCalcOnLoad="1"/>
</workbook>
</file>

<file path=xl/comments2.xml><?xml version="1.0" encoding="utf-8"?>
<comments xmlns="http://schemas.openxmlformats.org/spreadsheetml/2006/main">
  <authors>
    <author>Chang, Kuor-Hsin</author>
  </authors>
  <commentList>
    <comment ref="K27" authorId="0">
      <text>
        <r>
          <rPr>
            <b/>
            <sz val="8"/>
            <rFont val="Tahoma"/>
            <family val="0"/>
          </rPr>
          <t>Chang, Kuor-Hsin:</t>
        </r>
        <r>
          <rPr>
            <sz val="8"/>
            <rFont val="Tahoma"/>
            <family val="0"/>
          </rPr>
          <t xml:space="preserve">
Change the reason for rejection based on Ben's feedback.</t>
        </r>
      </text>
    </comment>
  </commentList>
</comments>
</file>

<file path=xl/sharedStrings.xml><?xml version="1.0" encoding="utf-8"?>
<sst xmlns="http://schemas.openxmlformats.org/spreadsheetml/2006/main" count="763" uniqueCount="349">
  <si>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</si>
  <si>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</si>
  <si>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See document 15-10-0842-00-004g</t>
  </si>
  <si>
    <t>10 to 20</t>
  </si>
  <si>
    <t xml:space="preserve">Clarify that bits (MOD1, MOD0) are used to encode the mode switch. </t>
  </si>
  <si>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</si>
  <si>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</si>
  <si>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</si>
  <si>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</si>
  <si>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</si>
  <si>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</si>
  <si>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</si>
  <si>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</si>
  <si>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</si>
  <si>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Ruben Salazar</t>
  </si>
  <si>
    <t>Shusaku Shimada</t>
  </si>
  <si>
    <t>Steve JILLINGS</t>
  </si>
  <si>
    <t>Steve Shearer</t>
  </si>
  <si>
    <t>Monique Brown</t>
  </si>
  <si>
    <t>See comment.</t>
  </si>
  <si>
    <t>Please modify the text to better explain what is happening here.</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</si>
  <si>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</si>
  <si>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</si>
  <si>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</si>
  <si>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Text says "The mode of the next PPDU transmitted…" Is there a way to make this text clearer? It is a different packet.</t>
  </si>
  <si>
    <t>Try introducing the term "new mode packet" here. Currently, it appears a couple of paragraphs down from here.</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</si>
  <si>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</si>
  <si>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</si>
  <si>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</si>
  <si>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</si>
  <si>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</si>
  <si>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Nicholas West</t>
  </si>
  <si>
    <t>Okundu Omeni</t>
  </si>
  <si>
    <t>Pat Kinney</t>
  </si>
  <si>
    <t>Roberto Aiello</t>
  </si>
  <si>
    <t>Itron</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</si>
  <si>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</si>
  <si>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</si>
  <si>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</si>
  <si>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</si>
  <si>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</si>
  <si>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</si>
  <si>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</si>
  <si>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</si>
  <si>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</si>
  <si>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</si>
  <si>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Khanh Tuan Le</t>
  </si>
  <si>
    <t>Kuor-Hsin Chang</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</si>
  <si>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</si>
  <si>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</si>
  <si>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9-10</t>
  </si>
  <si>
    <t>No additional FEC is needed for mode switch PPDU.</t>
  </si>
  <si>
    <t>Delete text "Note that LPSDU is zero in the case of a mode switching frame."</t>
  </si>
  <si>
    <t>48</t>
  </si>
  <si>
    <t>For mode switch, the reception of the new mode packet and the transmission of ACK (if necessary) should be all under the new mode.</t>
  </si>
  <si>
    <t>15-10-0928-01-004g-LB59-Comments - MODE SWITCH Resolutions.xls</t>
  </si>
  <si>
    <t>Change text "Once the reception of the following frame is completed" to "Once the receiving process (includes transmitting the acknowledgement frame if necessary) of the following frame is completed".</t>
  </si>
  <si>
    <t>Larry Taylor</t>
  </si>
  <si>
    <t>DTC (UK) &amp; SSN</t>
  </si>
  <si>
    <t>Is the statement “The Mode Switch Parameter Entry table is defined by the NHL” true?</t>
  </si>
  <si>
    <t>If not then correct the statement otherwise remove the definition of the Mode Switch Parameter Entry table from the 4g amendment</t>
  </si>
  <si>
    <t>Liang Li</t>
  </si>
  <si>
    <t>Mark Dawkins</t>
  </si>
  <si>
    <t>Matt Boytim</t>
  </si>
  <si>
    <t>Sensus</t>
  </si>
  <si>
    <t>Khurram Waheed/Mike Dow</t>
  </si>
  <si>
    <t>Clint Powell</t>
  </si>
  <si>
    <t>G</t>
  </si>
  <si>
    <t>No</t>
  </si>
  <si>
    <t>Cristina Seibert</t>
  </si>
  <si>
    <t>Silver Spring Networks</t>
  </si>
  <si>
    <t>David Cypher</t>
  </si>
  <si>
    <t>David Evans</t>
  </si>
  <si>
    <t>Dietmar Eggert</t>
  </si>
  <si>
    <t>Atmel</t>
  </si>
  <si>
    <t>6</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</si>
  <si>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</si>
  <si>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</si>
  <si>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</si>
  <si>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</si>
  <si>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</si>
  <si>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</si>
  <si>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</si>
  <si>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Emmanuel Monnerie</t>
  </si>
  <si>
    <t>Landis+Gyr</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</si>
  <si>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</si>
  <si>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</si>
  <si>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</si>
  <si>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</si>
  <si>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Henk de Ruijter</t>
  </si>
  <si>
    <t>James Gilb</t>
  </si>
  <si>
    <t>6.1.2.7.1</t>
  </si>
  <si>
    <t>Schwoerer</t>
  </si>
  <si>
    <t>yes</t>
  </si>
  <si>
    <t>Jeritt Kent</t>
  </si>
  <si>
    <t>Analog Devices, Inc.</t>
  </si>
  <si>
    <t>Check</t>
  </si>
  <si>
    <t>Why are Table 4b and 29b different?  Does this present the possibility that two bits is insufficient for this objective?</t>
  </si>
  <si>
    <t>Ensure that two bits is enough to futureproof and check the differences between the two tables</t>
  </si>
  <si>
    <t>6.12a.1.4</t>
  </si>
  <si>
    <t>It is interesting that there are "no return" scenarios for mode switch - ie for Entries 1-3, once the mode switch occurs, there is no way to recover.  If there is a recovery mechanism, it should be described.</t>
  </si>
  <si>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</si>
  <si>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</si>
  <si>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</si>
  <si>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</si>
  <si>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</si>
  <si>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</si>
  <si>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</si>
  <si>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</si>
  <si>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</si>
  <si>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</si>
  <si>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</si>
  <si>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</si>
  <si>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</si>
  <si>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</si>
  <si>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</si>
  <si>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</si>
  <si>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</si>
  <si>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</si>
  <si>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</si>
  <si>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</si>
  <si>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</si>
  <si>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</si>
  <si>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</si>
  <si>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</si>
  <si>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</si>
  <si>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</si>
  <si>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T</t>
  </si>
  <si>
    <t>E</t>
  </si>
  <si>
    <t>Clint Chaplin</t>
  </si>
  <si>
    <t>Editorial</t>
  </si>
  <si>
    <t>Yes</t>
  </si>
  <si>
    <t>6.3a.1.4</t>
  </si>
  <si>
    <t>Alan Wong</t>
  </si>
  <si>
    <t>Benjamin A. Rolfe</t>
  </si>
  <si>
    <t>Blind Creek Associates, Silver Spring Networks</t>
  </si>
  <si>
    <t>6.1.2.5a</t>
  </si>
  <si>
    <t>6.2.1.1.1</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</si>
  <si>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</si>
  <si>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</si>
  <si>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</si>
  <si>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Bob Mason</t>
  </si>
  <si>
    <t>Elster Solutions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</si>
  <si>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</si>
  <si>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</si>
  <si>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</si>
  <si>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Texas Instruments</t>
  </si>
  <si>
    <t xml:space="preserve">Insufficient information is given as to the source of the new mode. </t>
  </si>
  <si>
    <t>Reference to ModeSwitchParameterEntry and/or forward reference to a comple description of the mode switch mechanism is required.</t>
  </si>
  <si>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</si>
  <si>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</si>
  <si>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Mode Switch</t>
  </si>
  <si>
    <t>Chang</t>
  </si>
  <si>
    <t>Samsung Electronics</t>
  </si>
  <si>
    <t>"where addition is modulo-2 addition (addition over GF(2))"</t>
  </si>
  <si>
    <t>"where  is modulo-2 addition (addition over GF(2))" where  is the circle around the plus symbol.</t>
  </si>
  <si>
    <t>Format of Figure 27e is wildly different from that of the "other" PPDU figure, figure 16 in 15.4-2006.</t>
  </si>
  <si>
    <t>Make the format of the new figure match that of the old.</t>
  </si>
  <si>
    <t>The behavior of the receiving device in response to the values of the Checksum and Parity Check fields is unstated.  What should the device do in response to the values it receives in these fields?  Which one should it check first?</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</si>
  <si>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</si>
  <si>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</si>
  <si>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Annex D</t>
  </si>
  <si>
    <t>D.7.2.2</t>
  </si>
  <si>
    <t>Need to state that mode switch is prohibited for licensed bands</t>
  </si>
  <si>
    <t>Prohibit mode switch for licensed bands</t>
  </si>
  <si>
    <t>6.2.1.1</t>
  </si>
  <si>
    <t>ModeSwitch is only relevant for SUN PHYs</t>
  </si>
  <si>
    <t>Correct description</t>
  </si>
  <si>
    <t>ModeSwitchParameterEntry is only relevant for SUN PHYs</t>
  </si>
  <si>
    <t>48-50</t>
  </si>
  <si>
    <t>The meaning is difficult to understand.</t>
  </si>
  <si>
    <t>It is recommended to rephrase this sentence.</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</si>
  <si>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</si>
  <si>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</si>
  <si>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</si>
  <si>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</si>
  <si>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Text says: "a following PPDU containing PSDU." This is two packets, right? And both contain a PSDU? Wording is very awkward.</t>
  </si>
  <si>
    <t>6.2.1.2.2</t>
  </si>
  <si>
    <t>Remove the text "if ModeSwitch is TRUE…transmitted successfully." The text just before already says that "the request to transmit was successful." Text also contributes to poor sentence structure.</t>
  </si>
  <si>
    <t>Remove redundant text.</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</si>
  <si>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</si>
  <si>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</si>
  <si>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The text " 'Standard-Defined PHY Modes' field" no longer appears in table 22a.</t>
  </si>
  <si>
    <t>Maybe replace with "bitmap" and add a cross-reference to table 22a.</t>
  </si>
  <si>
    <t>Accept in principle. The comment for Table 8 is resolved by comment 478. Table 77 should be changed to reference the corresponding fields in Table 8 (to avoid duplication of the same information).</t>
  </si>
  <si>
    <t>Accept in principle. Resolved by comment 799.</t>
  </si>
  <si>
    <t>Accept in principle. It is beneficial to keep settling delay as variable since it is implementation specific. Also, it will be communicated over the air. Hence there is no interoperability issue. No change is needed.</t>
  </si>
  <si>
    <t>November, 2010</t>
  </si>
  <si>
    <t>919-901-2377</t>
  </si>
  <si>
    <t>E-mail: kuor-hsin.chang@us.elster.com</t>
  </si>
  <si>
    <t>Comment resolution for d2P802-15-4g_Draft_Standard</t>
  </si>
  <si>
    <t>Mode switch comment resolution for d2P802-15-4g draft standard</t>
  </si>
  <si>
    <t>This document presents resolution for the comments related to PHY mode switching.</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</si>
  <si>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is needed.</t>
  </si>
  <si>
    <t>Accept in principle. Resolution is the same as CID #211.</t>
  </si>
  <si>
    <t>Accept in principle. Resolution same as CID 593.</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</si>
  <si>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</si>
  <si>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Accept in principle. The resolution is the same as the resolution for CID 356.</t>
  </si>
  <si>
    <t>Chin-Sean Sum</t>
  </si>
  <si>
    <t>CheolHo Shin</t>
  </si>
  <si>
    <t>Jonathan Simon</t>
  </si>
  <si>
    <t>Kazuyuki Yasukawa</t>
  </si>
  <si>
    <t>Sangsung Choi</t>
  </si>
  <si>
    <t>Sverre Brubaek</t>
  </si>
  <si>
    <t>TaeJoon Park</t>
  </si>
  <si>
    <t>Wun-Cheol Jeong</t>
  </si>
  <si>
    <t>Xiang Wang</t>
  </si>
  <si>
    <t>November 2010</t>
  </si>
  <si>
    <t>Michael Schmidt</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</si>
  <si>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</si>
  <si>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</si>
  <si>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</si>
  <si>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</si>
  <si>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</si>
  <si>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</si>
  <si>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</si>
  <si>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</si>
  <si>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</si>
  <si>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</si>
  <si>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</si>
  <si>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</si>
  <si>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</si>
  <si>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</si>
  <si>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</si>
  <si>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</si>
  <si>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</si>
  <si>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</si>
  <si>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</si>
  <si>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</si>
  <si>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</si>
  <si>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</si>
  <si>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</si>
  <si>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</si>
  <si>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</si>
  <si>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</si>
  <si>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</si>
  <si>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</si>
  <si>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</si>
  <si>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</si>
  <si>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</si>
  <si>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</si>
  <si>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</si>
  <si>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</si>
  <si>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</si>
  <si>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</si>
  <si>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</si>
  <si>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</si>
  <si>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</si>
  <si>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</si>
  <si>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</si>
  <si>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</si>
  <si>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</si>
  <si>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</si>
  <si>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</si>
  <si>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</si>
  <si>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</si>
  <si>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</si>
  <si>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</si>
  <si>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</si>
  <si>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</si>
  <si>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</si>
  <si>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</si>
  <si>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</si>
  <si>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</si>
  <si>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</si>
  <si>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</si>
  <si>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</si>
  <si>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</si>
  <si>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</si>
  <si>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</si>
  <si>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</si>
  <si>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</si>
  <si>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</si>
  <si>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</si>
  <si>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</si>
  <si>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</si>
  <si>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assignee name</t>
  </si>
  <si>
    <t>NOT SORTED</t>
  </si>
  <si>
    <t>Accept in principle. Resolution same as CID #593.</t>
  </si>
  <si>
    <t>Clarify scope of ,next PPDU'. In case Modulation Scheme is other than FSK, reference to the corresponding PHYs. Combine O-QPSK-DSSS and O-QPSK-MDSS by MR-O-QPSK. MD3-MD0 can be set to zero for MR-O-QPSK. In Table 29b replace O-QPSK-DSSS by MR-O-QPSK PHY and replace last row by 'reserved'.</t>
  </si>
  <si>
    <t>AP</t>
  </si>
  <si>
    <t xml:space="preserve">The editors will clarify and use PHY mode switch where applicable. </t>
  </si>
  <si>
    <t>Accept in principle. The resolution is the same as the resolution for CID 64.</t>
  </si>
  <si>
    <t>A</t>
  </si>
  <si>
    <t>R</t>
  </si>
  <si>
    <t>Z</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</si>
  <si>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</si>
  <si>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</si>
  <si>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Michael Bahr</t>
  </si>
  <si>
    <t>Tim Godfrey</t>
  </si>
  <si>
    <t>Tim Schmidl</t>
  </si>
  <si>
    <t>Wei Hong</t>
  </si>
  <si>
    <t>Cisco Systems</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</si>
  <si>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</si>
  <si>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</si>
  <si>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</si>
  <si>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Bruce Kraemer</t>
  </si>
  <si>
    <t>Ed Callaway</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</si>
  <si>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</si>
  <si>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</si>
  <si>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</si>
  <si>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</si>
  <si>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What happens if an acknowledgement is requested in the MPDU sent via the change mode method?  In what mode is it sent?  Is it prohibited?</t>
  </si>
  <si>
    <t>Please elucidate.</t>
  </si>
  <si>
    <t>There will also be a settling delay when changing from the new mode back to the previous operating mode.  Is this specified anywhere?  If not, why not?</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</si>
  <si>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</si>
  <si>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</si>
  <si>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</si>
  <si>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</si>
  <si>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Accept in principle. As there is no security over the header, there is little or no difference between a denial of service attack that is sent without using the PHY mode switch mechanism as compare to a denial of service attack using a mode switch PPDU. PHY mode switch is currently defined as optional. No change is required.</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</si>
  <si>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</si>
  <si>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Accept. Remove the following text:
if ModeSwitch is TRUE…transmitted successfully,"</t>
  </si>
  <si>
    <t xml:space="preserve">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t>
  </si>
  <si>
    <t>Accept in Principle.
Add the following to the end of the description for ModeSwitch:
PHY mode switch is only allowed for the SUN PHYs.</t>
  </si>
  <si>
    <t>Accept in Principle.
The description for ModeSwitchParameterEntry states that is only valid if ModeSwitch = TRUE and the resolution to 691 defines that ModeSwitch can only be TRUE for SUN PHYs.
Resolved by CID 691.</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</si>
  <si>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t>
    </r>
  </si>
  <si>
    <t>Accept in Principle.
Resolved by CID 789.</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</si>
  <si>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</si>
  <si>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</si>
  <si>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wp</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</si>
  <si>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</si>
  <si>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</si>
  <si>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t>
  </si>
  <si>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</si>
  <si>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Reject.
Text is clear as written.</t>
  </si>
  <si>
    <t>Accept in Principle.
Change the text 
in the "Standard-Defined PHY Modes" field of channel page 7 
to
in the PHY mode bitmap, and selects the particular PHY mode.</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</si>
  <si>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</si>
  <si>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</si>
  <si>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t>Accept in Principle.
Resolved in CID 696.</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</si>
  <si>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</si>
  <si>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</si>
  <si>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7.3a.3.2</t>
  </si>
  <si>
    <t>The PIB Attribute Values in Figure 103h that are to be transmitted over the air are not sufficient to describe a Mode Switch.</t>
  </si>
  <si>
    <t>Add modulation transition to Figure 103h.</t>
  </si>
  <si>
    <t>Accept in principle.
Define the encoding of the Mode switch operation in 6.12a.3. Add modulation transition to Figure 103h.</t>
  </si>
  <si>
    <t>Reject. The mode switch mechanism is optional, and there is no reason that is could not be used for a mode switch from one MR-FSK mode to another. It does not need to be precluded from the licensed bands.</t>
  </si>
  <si>
    <t xml:space="preserve">   11/9/2010</t>
  </si>
  <si>
    <t xml:space="preserve">Reject.
An implementer can utilize the BCH code and the parity check bit to provide certain protection to insure that the mode switch is valid and the mode switch related information is correct. </t>
  </si>
  <si>
    <t xml:space="preserve">Accept in Principle. Resolved by CID 593.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</si>
  <si>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</si>
  <si>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The commenter has a valid concern. Since the mode switch mechanism is optional, for any two devices that want to take advantage of it, they need to make sure that each other has the same capability. This capability could be pre-programmed or exchanged through the SUN PHY Capabilities IE. This is the same for any other optional modes (such as FEC, SFD, interleaving...). In the SUN PHY Capabilities IE (7.3a.2 in D2 draft), Bit 1 is used to indicate whether the mode switch is supported by a device or not. 
Actually the commenter's concern is a general PHY Capabilities IE exchange issues between two devices. If the commenter believes what we have in the draft is not good enough to address this issue, we need review this issue for all optional modes. 
No change is required.</t>
  </si>
  <si>
    <t>Reject. Mode switch is intended to facilitate PHY mode changes from the FSK common signalling mode to K25other SUN PHY modes and the mode switch mechanism does not require changes to the definitions of these SUN PHY modes.</t>
  </si>
  <si>
    <t>Accept in principle. Change text "The Mode Switch Parameter Entry table is defined by the NHL." to "The Mode Switch Parameter Entry table may be defined by the next higher layer."</t>
  </si>
  <si>
    <t>Accept in principle. Resolved by CID #356.</t>
  </si>
  <si>
    <t>Reject. Whether the FEC should be applied to the mode switch PPDU or not is implmentation choice. The implementers can make their own judgement whether to apply FEC on mode switch PPDU or not.</t>
  </si>
  <si>
    <t>Accept in principle. Change the first "addition" to the exclusive OR symbol</t>
  </si>
  <si>
    <t>Accept in Principle. Partly resolved by CID 593. The resolution to CID 593 shows the changes to the draft. As noted in this resolution,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The receiving device returns to the mode specified by phyCurrentSUNPageEntry after the PHY frame is received. No other items (FCS,  addressing info, security, etc) have to be validated for the device to return to the mode specified by phyCurrentSUNPageEntry. Regarding the question "what determines reception of the following frame?”, since the new mode PPDU is the same as any other PPDUs defined in 4g, the reception of other 4g PPDUs defined in the draft should be applicable to the reception of the new mode PPDU. 
On page 68, line 3 add:
After the expected time delay, if the new mode PPDU is not received, the receiving device immediately returns to the mode specified by phyCurrentSUNPageEntry.</t>
  </si>
  <si>
    <t>Accept in principle. Add a footnote to the Mode Switch Operation of "FSK-&gt;FSK" saying:
The symbol rate and/or the FSK modulation order is changed for this mode switch operation.</t>
  </si>
  <si>
    <t>Accept in principle. Change the text from "….new mode defined in the mode switch packet in order to receive the following frame. Once the reception of the following frame is completed, the mode of operation of the receiver goes back to its previous mode" to
"….new mode defined in the MR-FSK mode switch PPDU, in order to receive the following frame (new mode PPDU). Once the reception of the new mode PPDU and the transmission of the ACK (if requested) has completed, the mode of operation of the receiver returns to what is specified in phyCurrentSUNPageEntry"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</si>
</sst>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1"/>
      <name val="Calibri"/>
      <family val="2"/>
    </font>
    <font>
      <i/>
      <sz val="10"/>
      <name val="Arial"/>
      <family val="2"/>
    </font>
    <font>
      <sz val="8"/>
      <name val="Arial"/>
      <family val="2"/>
    </font>
    <font>
      <b/>
      <sz val="12"/>
      <name val="Arial"/>
      <family val="2"/>
    </font>
    <font>
      <sz val="12"/>
      <name val="Arial"/>
      <family val="2"/>
    </font>
    <font>
      <i/>
      <sz val="10"/>
      <color indexed="10"/>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left"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xf>
    <xf numFmtId="0" fontId="10" fillId="0" borderId="0" xfId="0" applyFont="1" applyAlignment="1">
      <alignment/>
    </xf>
    <xf numFmtId="0" fontId="11" fillId="0" borderId="0" xfId="0" applyNumberFormat="1" applyFont="1" applyAlignment="1">
      <alignment/>
    </xf>
    <xf numFmtId="0" fontId="8"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12" fillId="0" borderId="0" xfId="0" applyFont="1" applyFill="1" applyAlignment="1">
      <alignment/>
    </xf>
    <xf numFmtId="0" fontId="0" fillId="0" borderId="0" xfId="0" applyFill="1" applyAlignment="1">
      <alignment horizontal="center"/>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170" fontId="0" fillId="0" borderId="0" xfId="0" applyNumberFormat="1" applyFill="1" applyAlignment="1">
      <alignment vertical="top" wrapText="1"/>
    </xf>
    <xf numFmtId="0" fontId="0" fillId="0" borderId="0" xfId="0" applyFont="1" applyFill="1" applyAlignment="1">
      <alignment horizontal="left" vertical="top" wrapText="1"/>
    </xf>
    <xf numFmtId="170" fontId="6" fillId="0" borderId="0" xfId="0" applyNumberFormat="1" applyFont="1" applyFill="1" applyBorder="1" applyAlignment="1">
      <alignment horizontal="center" vertical="center"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0" fontId="0" fillId="0" borderId="0" xfId="0" applyFont="1" applyFill="1" applyAlignment="1">
      <alignment horizontal="center" vertical="top"/>
    </xf>
    <xf numFmtId="0" fontId="7" fillId="0" borderId="0" xfId="0" applyFont="1" applyFill="1" applyAlignment="1">
      <alignment vertical="top"/>
    </xf>
    <xf numFmtId="49" fontId="0" fillId="0" borderId="0" xfId="0" applyNumberFormat="1" applyFill="1" applyAlignment="1">
      <alignment horizontal="center" vertical="top"/>
    </xf>
    <xf numFmtId="49" fontId="0" fillId="0" borderId="0" xfId="0" applyNumberFormat="1" applyFont="1" applyFill="1" applyAlignment="1">
      <alignment horizontal="left" vertical="top" wrapText="1"/>
    </xf>
    <xf numFmtId="0" fontId="0" fillId="0" borderId="0" xfId="0" applyNumberFormat="1" applyFill="1" applyAlignment="1">
      <alignment horizontal="center" vertical="top" wrapText="1"/>
    </xf>
    <xf numFmtId="170" fontId="0" fillId="0" borderId="0" xfId="0" applyNumberFormat="1" applyFill="1" applyAlignment="1">
      <alignment horizontal="center" vertical="center" wrapText="1"/>
    </xf>
    <xf numFmtId="0" fontId="0" fillId="0" borderId="0" xfId="0" applyAlignment="1">
      <alignment horizontal="center" vertical="top"/>
    </xf>
    <xf numFmtId="0" fontId="0" fillId="35" borderId="0" xfId="0" applyFill="1" applyAlignment="1">
      <alignment horizontal="center" vertical="top"/>
    </xf>
    <xf numFmtId="0" fontId="0" fillId="35" borderId="0" xfId="0" applyFill="1" applyAlignment="1">
      <alignment horizontal="left" vertical="top"/>
    </xf>
    <xf numFmtId="0" fontId="0" fillId="35" borderId="0" xfId="0"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center" wrapText="1"/>
    </xf>
    <xf numFmtId="0" fontId="0" fillId="35" borderId="0" xfId="0" applyFill="1" applyAlignment="1">
      <alignment/>
    </xf>
    <xf numFmtId="170" fontId="0" fillId="35" borderId="0" xfId="0" applyNumberFormat="1" applyFill="1" applyAlignment="1">
      <alignment/>
    </xf>
    <xf numFmtId="0" fontId="0" fillId="35" borderId="0" xfId="0" applyFill="1" applyAlignment="1">
      <alignment horizontal="center"/>
    </xf>
    <xf numFmtId="170" fontId="6" fillId="35" borderId="0" xfId="0" applyNumberFormat="1" applyFont="1" applyFill="1" applyBorder="1" applyAlignment="1">
      <alignment horizontal="center" vertical="center" wrapText="1"/>
    </xf>
    <xf numFmtId="0" fontId="0" fillId="36" borderId="0" xfId="0" applyFill="1" applyAlignment="1">
      <alignment horizontal="center" vertical="top"/>
    </xf>
    <xf numFmtId="0" fontId="0" fillId="36" borderId="0" xfId="0" applyFill="1" applyAlignment="1">
      <alignment horizontal="left" vertical="top"/>
    </xf>
    <xf numFmtId="0" fontId="0" fillId="36" borderId="0" xfId="0" applyFill="1" applyAlignment="1">
      <alignment horizontal="left" vertical="top" wrapText="1"/>
    </xf>
    <xf numFmtId="49" fontId="0" fillId="36" borderId="0" xfId="0" applyNumberFormat="1" applyFill="1" applyAlignment="1">
      <alignment horizontal="center" vertical="top" wrapText="1"/>
    </xf>
    <xf numFmtId="170" fontId="0" fillId="36" borderId="0" xfId="0" applyNumberFormat="1" applyFill="1" applyAlignment="1">
      <alignment horizontal="center" vertical="center" wrapText="1"/>
    </xf>
    <xf numFmtId="0" fontId="0" fillId="36" borderId="0" xfId="0" applyFill="1" applyAlignment="1">
      <alignment/>
    </xf>
    <xf numFmtId="170" fontId="0" fillId="36" borderId="0" xfId="0" applyNumberFormat="1" applyFill="1" applyAlignment="1">
      <alignment/>
    </xf>
    <xf numFmtId="0" fontId="0" fillId="36" borderId="0" xfId="0" applyFill="1" applyAlignment="1">
      <alignment horizontal="center"/>
    </xf>
    <xf numFmtId="170" fontId="6" fillId="36" borderId="0" xfId="0" applyNumberFormat="1" applyFont="1" applyFill="1" applyBorder="1" applyAlignment="1">
      <alignment horizontal="center" vertical="center" wrapText="1"/>
    </xf>
    <xf numFmtId="0" fontId="0" fillId="35" borderId="0" xfId="0" applyNumberFormat="1" applyFill="1" applyAlignment="1">
      <alignment horizontal="center" vertical="top"/>
    </xf>
    <xf numFmtId="0" fontId="0" fillId="35" borderId="0" xfId="0" applyFont="1" applyFill="1" applyAlignment="1">
      <alignment horizontal="left" vertical="top" wrapText="1"/>
    </xf>
    <xf numFmtId="0" fontId="0" fillId="35" borderId="0" xfId="0" applyFont="1" applyFill="1" applyAlignment="1">
      <alignment horizontal="left" vertical="top"/>
    </xf>
    <xf numFmtId="0" fontId="0" fillId="35" borderId="0" xfId="0" applyFont="1" applyFill="1" applyAlignment="1">
      <alignment horizontal="center" vertical="top"/>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center" wrapText="1"/>
    </xf>
    <xf numFmtId="0" fontId="0" fillId="35" borderId="0" xfId="0" applyFont="1" applyFill="1" applyAlignment="1">
      <alignment horizontal="center" vertical="top" wrapText="1"/>
    </xf>
    <xf numFmtId="0" fontId="0" fillId="35" borderId="0" xfId="0" applyFont="1" applyFill="1" applyAlignment="1">
      <alignment/>
    </xf>
    <xf numFmtId="170" fontId="0" fillId="35" borderId="0" xfId="0" applyNumberFormat="1" applyFont="1" applyFill="1" applyAlignment="1">
      <alignment/>
    </xf>
    <xf numFmtId="0" fontId="0" fillId="35" borderId="0" xfId="0" applyFill="1" applyAlignment="1">
      <alignment horizontal="center" vertical="top" wrapText="1"/>
    </xf>
    <xf numFmtId="0" fontId="0" fillId="35" borderId="0" xfId="0" applyFill="1" applyAlignment="1">
      <alignment vertical="top" wrapText="1"/>
    </xf>
    <xf numFmtId="170" fontId="0" fillId="35" borderId="0" xfId="0" applyNumberFormat="1" applyFill="1" applyAlignment="1">
      <alignment vertical="top" wrapText="1"/>
    </xf>
    <xf numFmtId="170" fontId="0" fillId="35" borderId="0" xfId="0" applyNumberFormat="1" applyFill="1" applyAlignment="1">
      <alignment horizontal="center" vertical="top" wrapText="1"/>
    </xf>
    <xf numFmtId="170" fontId="6" fillId="35" borderId="0" xfId="0" applyNumberFormat="1" applyFont="1" applyFill="1" applyBorder="1" applyAlignment="1">
      <alignment horizontal="center" vertical="top" wrapText="1"/>
    </xf>
    <xf numFmtId="0" fontId="7" fillId="35" borderId="0" xfId="0" applyFont="1" applyFill="1" applyAlignment="1">
      <alignment vertical="top" wrapText="1"/>
    </xf>
    <xf numFmtId="0" fontId="0" fillId="35" borderId="0" xfId="0" applyNumberFormat="1" applyFill="1" applyAlignment="1">
      <alignment horizontal="left" vertical="top" wrapText="1"/>
    </xf>
    <xf numFmtId="49" fontId="0" fillId="35" borderId="0" xfId="0" applyNumberFormat="1" applyFill="1" applyAlignment="1">
      <alignment horizontal="left" vertical="top" wrapText="1"/>
    </xf>
    <xf numFmtId="0" fontId="7" fillId="35" borderId="0" xfId="0" applyFont="1" applyFill="1" applyAlignment="1">
      <alignment vertical="top"/>
    </xf>
    <xf numFmtId="170" fontId="0" fillId="35" borderId="0" xfId="0" applyNumberFormat="1" applyFont="1" applyFill="1" applyAlignment="1">
      <alignment vertical="top" wrapText="1"/>
    </xf>
    <xf numFmtId="0" fontId="0" fillId="35" borderId="0" xfId="0" applyFont="1" applyFill="1" applyAlignment="1">
      <alignment vertical="top" wrapText="1"/>
    </xf>
    <xf numFmtId="0" fontId="0" fillId="36" borderId="0" xfId="0"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vertical="top" wrapText="1"/>
    </xf>
    <xf numFmtId="170" fontId="0" fillId="36" borderId="0" xfId="0" applyNumberFormat="1" applyFill="1" applyAlignment="1">
      <alignment vertical="top" wrapText="1"/>
    </xf>
    <xf numFmtId="170" fontId="0" fillId="36" borderId="0" xfId="0" applyNumberFormat="1" applyFill="1" applyAlignment="1">
      <alignment horizontal="center" vertical="top" wrapText="1"/>
    </xf>
    <xf numFmtId="170" fontId="6" fillId="36"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D2" sqref="D2"/>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207</v>
      </c>
      <c r="C1" s="3"/>
      <c r="D1" s="4" t="s">
        <v>55</v>
      </c>
    </row>
    <row r="3" ht="18.75">
      <c r="C3" s="5" t="s">
        <v>101</v>
      </c>
    </row>
    <row r="4" ht="18.75">
      <c r="C4" s="5" t="s">
        <v>102</v>
      </c>
    </row>
    <row r="5" ht="18.75">
      <c r="B5" s="5"/>
    </row>
    <row r="6" spans="2:4" ht="15.75" customHeight="1">
      <c r="B6" s="6" t="s">
        <v>103</v>
      </c>
      <c r="C6" s="107" t="s">
        <v>104</v>
      </c>
      <c r="D6" s="107"/>
    </row>
    <row r="7" spans="2:4" ht="18.75" customHeight="1">
      <c r="B7" s="6" t="s">
        <v>105</v>
      </c>
      <c r="C7" s="109" t="s">
        <v>106</v>
      </c>
      <c r="D7" s="109"/>
    </row>
    <row r="8" spans="2:4" ht="15.75" customHeight="1">
      <c r="B8" s="6" t="s">
        <v>107</v>
      </c>
      <c r="C8" s="110" t="s">
        <v>187</v>
      </c>
      <c r="D8" s="110"/>
    </row>
    <row r="9" spans="2:4" ht="14.25" customHeight="1">
      <c r="B9" s="107" t="s">
        <v>108</v>
      </c>
      <c r="C9" s="6" t="s">
        <v>47</v>
      </c>
      <c r="D9" s="6" t="s">
        <v>188</v>
      </c>
    </row>
    <row r="10" spans="2:4" ht="15.75">
      <c r="B10" s="107"/>
      <c r="C10" s="8" t="s">
        <v>142</v>
      </c>
      <c r="D10" s="8"/>
    </row>
    <row r="11" spans="2:4" ht="15.75">
      <c r="B11" s="107"/>
      <c r="C11" s="8"/>
      <c r="D11" s="8" t="s">
        <v>189</v>
      </c>
    </row>
    <row r="12" spans="2:4" ht="15.75">
      <c r="B12" s="107"/>
      <c r="C12" s="9"/>
      <c r="D12" s="10"/>
    </row>
    <row r="13" spans="2:4" ht="14.25" customHeight="1">
      <c r="B13" s="107" t="s">
        <v>109</v>
      </c>
      <c r="C13" s="11" t="s">
        <v>190</v>
      </c>
      <c r="D13" s="6"/>
    </row>
    <row r="14" spans="2:4" ht="15.75" customHeight="1">
      <c r="B14" s="107"/>
      <c r="C14" s="108"/>
      <c r="D14" s="108"/>
    </row>
    <row r="15" spans="2:3" ht="15.75">
      <c r="B15" s="107"/>
      <c r="C15" s="12"/>
    </row>
    <row r="16" spans="2:4" ht="15.75" customHeight="1">
      <c r="B16" s="6" t="s">
        <v>110</v>
      </c>
      <c r="C16" s="107" t="s">
        <v>191</v>
      </c>
      <c r="D16" s="107"/>
    </row>
    <row r="17" spans="2:4" s="13" customFormat="1" ht="20.25" customHeight="1">
      <c r="B17" s="6" t="s">
        <v>111</v>
      </c>
      <c r="C17" s="107" t="s">
        <v>192</v>
      </c>
      <c r="D17" s="107"/>
    </row>
    <row r="18" spans="2:4" s="13" customFormat="1" ht="84" customHeight="1">
      <c r="B18" s="7" t="s">
        <v>112</v>
      </c>
      <c r="C18" s="107" t="s">
        <v>113</v>
      </c>
      <c r="D18" s="107"/>
    </row>
    <row r="19" spans="2:4" s="13" customFormat="1" ht="36.75" customHeight="1">
      <c r="B19" s="9" t="s">
        <v>114</v>
      </c>
      <c r="C19" s="107" t="s">
        <v>115</v>
      </c>
      <c r="D19" s="107"/>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X57"/>
  <sheetViews>
    <sheetView tabSelected="1" zoomScale="110" zoomScaleNormal="110" zoomScalePageLayoutView="0" workbookViewId="0" topLeftCell="A1">
      <pane xSplit="2" ySplit="1" topLeftCell="D4" activePane="bottomRight" state="frozen"/>
      <selection pane="topLeft" activeCell="A1" sqref="A1"/>
      <selection pane="topRight" activeCell="B1" sqref="B1"/>
      <selection pane="bottomLeft" activeCell="A2" sqref="A2"/>
      <selection pane="bottomRight" activeCell="K38" sqref="K38"/>
    </sheetView>
  </sheetViews>
  <sheetFormatPr defaultColWidth="8.8515625" defaultRowHeight="12.75"/>
  <cols>
    <col min="1" max="1" width="6.7109375" style="21" customWidth="1"/>
    <col min="2" max="2" width="14.28125" style="19" customWidth="1"/>
    <col min="3" max="3" width="20.7109375" style="19" customWidth="1"/>
    <col min="4" max="4" width="9.140625" style="21" customWidth="1"/>
    <col min="5" max="5" width="10.421875" style="21" customWidth="1"/>
    <col min="6" max="6" width="9.140625" style="21" customWidth="1"/>
    <col min="7" max="7" width="6.140625" style="21" customWidth="1"/>
    <col min="8" max="8" width="6.57421875" style="21" customWidth="1"/>
    <col min="9" max="9" width="25.7109375" style="15" customWidth="1"/>
    <col min="10" max="10" width="22.7109375" style="15" customWidth="1"/>
    <col min="11" max="11" width="61.421875" style="15" customWidth="1"/>
    <col min="12" max="12" width="20.7109375" style="46" bestFit="1" customWidth="1"/>
    <col min="13" max="13" width="12.7109375" style="60" customWidth="1"/>
    <col min="14" max="14" width="12.7109375" style="15" customWidth="1"/>
    <col min="15" max="15" width="18.00390625" style="21" customWidth="1"/>
    <col min="16" max="16" width="14.7109375" style="14" customWidth="1"/>
    <col min="17" max="17" width="20.7109375" style="24" customWidth="1"/>
    <col min="18" max="18" width="20.7109375" style="14" customWidth="1"/>
    <col min="19" max="20" width="10.7109375" style="44" customWidth="1"/>
    <col min="21" max="21" width="12.7109375" style="24" customWidth="1"/>
    <col min="22" max="22" width="15.7109375" style="14" customWidth="1"/>
    <col min="23" max="23" width="8.7109375" style="14" customWidth="1"/>
    <col min="24" max="16384" width="8.8515625" style="14" customWidth="1"/>
  </cols>
  <sheetData>
    <row r="1" spans="1:23" s="28" customFormat="1" ht="39" customHeight="1">
      <c r="A1" s="23" t="s">
        <v>224</v>
      </c>
      <c r="B1" s="25" t="s">
        <v>116</v>
      </c>
      <c r="C1" s="25" t="s">
        <v>117</v>
      </c>
      <c r="D1" s="25" t="s">
        <v>118</v>
      </c>
      <c r="E1" s="25" t="s">
        <v>119</v>
      </c>
      <c r="F1" s="25" t="s">
        <v>120</v>
      </c>
      <c r="G1" s="25" t="s">
        <v>121</v>
      </c>
      <c r="H1" s="25" t="s">
        <v>122</v>
      </c>
      <c r="I1" s="26" t="s">
        <v>123</v>
      </c>
      <c r="J1" s="26" t="s">
        <v>124</v>
      </c>
      <c r="K1" s="26" t="s">
        <v>220</v>
      </c>
      <c r="L1" s="29" t="s">
        <v>221</v>
      </c>
      <c r="M1" s="27" t="s">
        <v>222</v>
      </c>
      <c r="N1" s="23" t="s">
        <v>223</v>
      </c>
      <c r="O1" s="26" t="s">
        <v>125</v>
      </c>
      <c r="P1" s="27" t="s">
        <v>225</v>
      </c>
      <c r="Q1" s="27" t="s">
        <v>226</v>
      </c>
      <c r="R1" s="27" t="s">
        <v>227</v>
      </c>
      <c r="S1" s="27" t="s">
        <v>228</v>
      </c>
      <c r="T1" s="27" t="s">
        <v>229</v>
      </c>
      <c r="U1" s="27" t="s">
        <v>230</v>
      </c>
      <c r="V1" s="27" t="s">
        <v>231</v>
      </c>
      <c r="W1" s="27" t="s">
        <v>232</v>
      </c>
    </row>
    <row r="2" spans="1:22" s="67" customFormat="1" ht="153">
      <c r="A2" s="62">
        <v>478</v>
      </c>
      <c r="B2" s="63" t="s">
        <v>36</v>
      </c>
      <c r="C2" s="63" t="s">
        <v>37</v>
      </c>
      <c r="D2" s="62" t="s">
        <v>67</v>
      </c>
      <c r="E2" s="62">
        <v>6</v>
      </c>
      <c r="F2" s="62" t="s">
        <v>136</v>
      </c>
      <c r="G2" s="62">
        <v>16</v>
      </c>
      <c r="H2" s="62">
        <v>15</v>
      </c>
      <c r="I2" s="64" t="s">
        <v>38</v>
      </c>
      <c r="J2" s="64" t="s">
        <v>39</v>
      </c>
      <c r="K2" s="64" t="s">
        <v>310</v>
      </c>
      <c r="L2" s="65" t="s">
        <v>280</v>
      </c>
      <c r="M2" s="66">
        <v>40493</v>
      </c>
      <c r="N2" s="64" t="s">
        <v>151</v>
      </c>
      <c r="O2" s="62" t="s">
        <v>93</v>
      </c>
      <c r="Q2" s="68"/>
      <c r="S2" s="69">
        <f aca="true" t="shared" si="0" ref="S2:S55">IF(D2="E",L2,"")</f>
      </c>
      <c r="T2" s="69" t="str">
        <f aca="true" t="shared" si="1" ref="T2:T55">IF(OR(D2="T",D2="G"),L2,"")</f>
        <v>AP</v>
      </c>
      <c r="U2" s="68"/>
      <c r="V2" s="70">
        <f aca="true" t="shared" si="2" ref="V2:V55">IF(OR(T2="rdy2vote",T2="wp"),P2,"")</f>
      </c>
    </row>
    <row r="3" spans="1:22" s="67" customFormat="1" ht="63.75">
      <c r="A3" s="62">
        <v>409</v>
      </c>
      <c r="B3" s="63" t="s">
        <v>94</v>
      </c>
      <c r="C3" s="63" t="s">
        <v>95</v>
      </c>
      <c r="D3" s="62" t="s">
        <v>127</v>
      </c>
      <c r="E3" s="62">
        <v>6</v>
      </c>
      <c r="F3" s="62" t="s">
        <v>91</v>
      </c>
      <c r="G3" s="62">
        <v>19</v>
      </c>
      <c r="H3" s="80">
        <v>37</v>
      </c>
      <c r="I3" s="64" t="s">
        <v>97</v>
      </c>
      <c r="J3" s="64" t="s">
        <v>98</v>
      </c>
      <c r="K3" s="81" t="s">
        <v>197</v>
      </c>
      <c r="L3" s="65" t="s">
        <v>280</v>
      </c>
      <c r="M3" s="66">
        <v>40493</v>
      </c>
      <c r="N3" s="64" t="s">
        <v>151</v>
      </c>
      <c r="O3" s="62" t="s">
        <v>131</v>
      </c>
      <c r="Q3" s="68"/>
      <c r="S3" s="69">
        <f t="shared" si="0"/>
      </c>
      <c r="T3" s="69" t="str">
        <f t="shared" si="1"/>
        <v>AP</v>
      </c>
      <c r="U3" s="68"/>
      <c r="V3" s="70">
        <f t="shared" si="2"/>
      </c>
    </row>
    <row r="4" spans="1:22" ht="127.5">
      <c r="A4" s="21">
        <v>38</v>
      </c>
      <c r="B4" s="19" t="s">
        <v>134</v>
      </c>
      <c r="C4" s="19" t="s">
        <v>135</v>
      </c>
      <c r="D4" s="21" t="s">
        <v>127</v>
      </c>
      <c r="E4" s="21">
        <v>6</v>
      </c>
      <c r="F4" s="21" t="s">
        <v>138</v>
      </c>
      <c r="G4" s="21">
        <v>32</v>
      </c>
      <c r="H4" s="21">
        <v>15</v>
      </c>
      <c r="I4" s="15" t="s">
        <v>139</v>
      </c>
      <c r="J4" s="15" t="s">
        <v>140</v>
      </c>
      <c r="K4" s="51" t="s">
        <v>281</v>
      </c>
      <c r="L4" s="46" t="s">
        <v>280</v>
      </c>
      <c r="M4" s="60">
        <v>40493</v>
      </c>
      <c r="N4" s="15" t="s">
        <v>151</v>
      </c>
      <c r="O4" s="21" t="s">
        <v>131</v>
      </c>
      <c r="S4" s="44">
        <f t="shared" si="0"/>
      </c>
      <c r="T4" s="44" t="str">
        <f t="shared" si="1"/>
        <v>AP</v>
      </c>
      <c r="V4" s="52">
        <f t="shared" si="2"/>
      </c>
    </row>
    <row r="5" spans="1:22" s="67" customFormat="1" ht="102">
      <c r="A5" s="62">
        <v>116</v>
      </c>
      <c r="B5" s="63" t="s">
        <v>203</v>
      </c>
      <c r="C5" s="63" t="s">
        <v>146</v>
      </c>
      <c r="D5" s="62" t="s">
        <v>128</v>
      </c>
      <c r="E5" s="62">
        <v>6</v>
      </c>
      <c r="F5" s="62">
        <v>2</v>
      </c>
      <c r="G5" s="62">
        <v>32</v>
      </c>
      <c r="H5" s="62">
        <v>15</v>
      </c>
      <c r="I5" s="64" t="s">
        <v>147</v>
      </c>
      <c r="J5" s="64" t="s">
        <v>148</v>
      </c>
      <c r="K5" s="81" t="s">
        <v>282</v>
      </c>
      <c r="L5" s="65" t="s">
        <v>280</v>
      </c>
      <c r="M5" s="66">
        <v>40493</v>
      </c>
      <c r="N5" s="64" t="s">
        <v>151</v>
      </c>
      <c r="O5" s="62" t="s">
        <v>131</v>
      </c>
      <c r="Q5" s="68"/>
      <c r="S5" s="69" t="str">
        <f t="shared" si="0"/>
        <v>AP</v>
      </c>
      <c r="T5" s="69">
        <f t="shared" si="1"/>
      </c>
      <c r="U5" s="68"/>
      <c r="V5" s="70">
        <f t="shared" si="2"/>
      </c>
    </row>
    <row r="6" spans="1:24" s="90" customFormat="1" ht="127.5">
      <c r="A6" s="89">
        <v>780</v>
      </c>
      <c r="B6" s="64" t="s">
        <v>18</v>
      </c>
      <c r="C6" s="64" t="s">
        <v>70</v>
      </c>
      <c r="D6" s="89" t="s">
        <v>127</v>
      </c>
      <c r="E6" s="89">
        <v>6</v>
      </c>
      <c r="F6" s="89" t="s">
        <v>137</v>
      </c>
      <c r="G6" s="89">
        <v>32</v>
      </c>
      <c r="H6" s="89">
        <v>17</v>
      </c>
      <c r="I6" s="64" t="s">
        <v>172</v>
      </c>
      <c r="J6" s="64" t="s">
        <v>173</v>
      </c>
      <c r="K6" s="64" t="s">
        <v>312</v>
      </c>
      <c r="L6" s="65" t="s">
        <v>280</v>
      </c>
      <c r="M6" s="66">
        <v>40493</v>
      </c>
      <c r="N6" s="64" t="s">
        <v>151</v>
      </c>
      <c r="O6" s="89" t="s">
        <v>68</v>
      </c>
      <c r="P6" s="90" t="s">
        <v>152</v>
      </c>
      <c r="Q6" s="91"/>
      <c r="S6" s="89">
        <f>IF(D6="E",L6,"")</f>
      </c>
      <c r="T6" s="89" t="str">
        <f>IF(OR(D6="T",D6="G"),L6,"")</f>
        <v>AP</v>
      </c>
      <c r="U6" s="89" t="e">
        <f>IF(OR(T6="A",T6="AP",T6="R",T6="Z"),#REF!,"")</f>
        <v>#REF!</v>
      </c>
      <c r="V6" s="89">
        <f>IF(OR(T6=0,T6="wp"),#REF!,"")</f>
      </c>
      <c r="W6" s="92">
        <v>40492</v>
      </c>
      <c r="X6" s="93">
        <f>IF(OR(T6="rdy2vote",T6="wp"),P6,"")</f>
      </c>
    </row>
    <row r="7" spans="1:24" s="90" customFormat="1" ht="63.75">
      <c r="A7" s="89">
        <v>781</v>
      </c>
      <c r="B7" s="64" t="s">
        <v>18</v>
      </c>
      <c r="C7" s="64" t="s">
        <v>70</v>
      </c>
      <c r="D7" s="89" t="s">
        <v>127</v>
      </c>
      <c r="E7" s="89">
        <v>6</v>
      </c>
      <c r="F7" s="89" t="s">
        <v>137</v>
      </c>
      <c r="G7" s="89">
        <v>32</v>
      </c>
      <c r="H7" s="89">
        <v>21</v>
      </c>
      <c r="I7" s="64" t="s">
        <v>174</v>
      </c>
      <c r="J7" s="64" t="s">
        <v>175</v>
      </c>
      <c r="K7" s="64" t="s">
        <v>184</v>
      </c>
      <c r="L7" s="65" t="s">
        <v>280</v>
      </c>
      <c r="M7" s="66">
        <v>40493</v>
      </c>
      <c r="N7" s="64" t="s">
        <v>151</v>
      </c>
      <c r="O7" s="89" t="s">
        <v>68</v>
      </c>
      <c r="P7" s="90" t="s">
        <v>152</v>
      </c>
      <c r="Q7" s="91"/>
      <c r="S7" s="89">
        <f>IF(D7="E",L7,"")</f>
      </c>
      <c r="T7" s="89" t="str">
        <f>IF(OR(D7="T",D7="G"),L7,"")</f>
        <v>AP</v>
      </c>
      <c r="U7" s="89" t="e">
        <f>IF(OR(T7="A",T7="AP",T7="R",T7="Z"),#REF!,"")</f>
        <v>#REF!</v>
      </c>
      <c r="V7" s="89">
        <f>IF(OR(T7=0,T7="wp"),#REF!,"")</f>
      </c>
      <c r="W7" s="92">
        <v>40492</v>
      </c>
      <c r="X7" s="93">
        <f>IF(OR(T7="rdy2vote",T7="wp"),P7,"")</f>
      </c>
    </row>
    <row r="8" spans="1:24" s="90" customFormat="1" ht="38.25">
      <c r="A8" s="89">
        <v>691</v>
      </c>
      <c r="B8" s="64" t="s">
        <v>208</v>
      </c>
      <c r="C8" s="64" t="s">
        <v>74</v>
      </c>
      <c r="D8" s="89" t="s">
        <v>127</v>
      </c>
      <c r="E8" s="86">
        <v>6</v>
      </c>
      <c r="F8" s="86" t="s">
        <v>165</v>
      </c>
      <c r="G8" s="86">
        <v>32</v>
      </c>
      <c r="H8" s="94"/>
      <c r="I8" s="95" t="s">
        <v>166</v>
      </c>
      <c r="J8" s="96" t="s">
        <v>167</v>
      </c>
      <c r="K8" s="96" t="s">
        <v>313</v>
      </c>
      <c r="L8" s="65" t="s">
        <v>280</v>
      </c>
      <c r="M8" s="66">
        <v>40493</v>
      </c>
      <c r="N8" s="64" t="s">
        <v>151</v>
      </c>
      <c r="O8" s="89" t="s">
        <v>131</v>
      </c>
      <c r="P8" s="90" t="s">
        <v>152</v>
      </c>
      <c r="Q8" s="91"/>
      <c r="S8" s="89">
        <f>IF(D8="E",L8,"")</f>
      </c>
      <c r="T8" s="89" t="str">
        <f>IF(OR(D8="T",D8="G"),L8,"")</f>
        <v>AP</v>
      </c>
      <c r="U8" s="89" t="e">
        <f>IF(OR(T8="A",T8="AP",T8="R",T8="Z"),#REF!,"")</f>
        <v>#REF!</v>
      </c>
      <c r="V8" s="89">
        <f>IF(OR(T8=0,T8="wp"),#REF!,"")</f>
      </c>
      <c r="W8" s="92">
        <v>40492</v>
      </c>
      <c r="X8" s="93">
        <f>IF(OR(T8="rdy2vote",T8="wp"),P8,"")</f>
      </c>
    </row>
    <row r="9" spans="1:24" s="90" customFormat="1" ht="63.75">
      <c r="A9" s="89">
        <v>692</v>
      </c>
      <c r="B9" s="64" t="s">
        <v>208</v>
      </c>
      <c r="C9" s="64" t="s">
        <v>74</v>
      </c>
      <c r="D9" s="89" t="s">
        <v>127</v>
      </c>
      <c r="E9" s="86">
        <v>6</v>
      </c>
      <c r="F9" s="86" t="s">
        <v>165</v>
      </c>
      <c r="G9" s="86">
        <v>32</v>
      </c>
      <c r="H9" s="94"/>
      <c r="I9" s="95" t="s">
        <v>168</v>
      </c>
      <c r="J9" s="96" t="s">
        <v>167</v>
      </c>
      <c r="K9" s="96" t="s">
        <v>314</v>
      </c>
      <c r="L9" s="65" t="s">
        <v>280</v>
      </c>
      <c r="M9" s="66">
        <v>40493</v>
      </c>
      <c r="N9" s="64" t="s">
        <v>151</v>
      </c>
      <c r="O9" s="89" t="s">
        <v>131</v>
      </c>
      <c r="P9" s="90" t="s">
        <v>152</v>
      </c>
      <c r="Q9" s="91"/>
      <c r="S9" s="89">
        <f>IF(D9="E",L9,"")</f>
      </c>
      <c r="T9" s="89" t="str">
        <f>IF(OR(D9="T",D9="G"),L9,"")</f>
        <v>AP</v>
      </c>
      <c r="U9" s="89" t="e">
        <f>IF(OR(T9="A",T9="AP",T9="R",T9="Z"),#REF!,"")</f>
        <v>#REF!</v>
      </c>
      <c r="V9" s="89">
        <f>IF(OR(T9=0,T9="wp"),#REF!,"")</f>
      </c>
      <c r="W9" s="92">
        <v>40492</v>
      </c>
      <c r="X9" s="93">
        <f>IF(OR(T9="rdy2vote",T9="wp"),P9,"")</f>
      </c>
    </row>
    <row r="10" spans="1:23" s="67" customFormat="1" ht="229.5">
      <c r="A10" s="62">
        <v>64</v>
      </c>
      <c r="B10" s="82" t="s">
        <v>141</v>
      </c>
      <c r="C10" s="82" t="s">
        <v>142</v>
      </c>
      <c r="D10" s="83" t="s">
        <v>127</v>
      </c>
      <c r="E10" s="83">
        <v>6</v>
      </c>
      <c r="F10" s="83" t="s">
        <v>143</v>
      </c>
      <c r="G10" s="83">
        <v>32</v>
      </c>
      <c r="H10" s="83">
        <v>27</v>
      </c>
      <c r="I10" s="81" t="s">
        <v>144</v>
      </c>
      <c r="J10" s="81" t="s">
        <v>145</v>
      </c>
      <c r="K10" s="64" t="s">
        <v>315</v>
      </c>
      <c r="L10" s="84" t="s">
        <v>280</v>
      </c>
      <c r="M10" s="85">
        <v>40493</v>
      </c>
      <c r="N10" s="64" t="s">
        <v>151</v>
      </c>
      <c r="O10" s="86"/>
      <c r="P10" s="87"/>
      <c r="Q10" s="88"/>
      <c r="R10" s="87"/>
      <c r="S10" s="69">
        <f t="shared" si="0"/>
      </c>
      <c r="T10" s="69" t="str">
        <f t="shared" si="1"/>
        <v>AP</v>
      </c>
      <c r="U10" s="88"/>
      <c r="V10" s="70">
        <f t="shared" si="2"/>
      </c>
      <c r="W10" s="87"/>
    </row>
    <row r="11" spans="1:22" s="67" customFormat="1" ht="195.75" customHeight="1">
      <c r="A11" s="62">
        <v>789</v>
      </c>
      <c r="B11" s="63" t="s">
        <v>18</v>
      </c>
      <c r="C11" s="63" t="s">
        <v>70</v>
      </c>
      <c r="D11" s="62" t="s">
        <v>127</v>
      </c>
      <c r="E11" s="62">
        <v>6</v>
      </c>
      <c r="F11" s="62" t="s">
        <v>137</v>
      </c>
      <c r="G11" s="62">
        <v>32</v>
      </c>
      <c r="H11" s="62">
        <v>50</v>
      </c>
      <c r="I11" s="64" t="s">
        <v>21</v>
      </c>
      <c r="J11" s="64" t="s">
        <v>20</v>
      </c>
      <c r="K11" s="64" t="s">
        <v>317</v>
      </c>
      <c r="L11" s="65" t="s">
        <v>280</v>
      </c>
      <c r="M11" s="66">
        <v>40493</v>
      </c>
      <c r="N11" s="62" t="s">
        <v>151</v>
      </c>
      <c r="O11" s="62" t="s">
        <v>68</v>
      </c>
      <c r="Q11" s="68"/>
      <c r="S11" s="69">
        <f t="shared" si="0"/>
      </c>
      <c r="T11" s="69" t="str">
        <f t="shared" si="1"/>
        <v>AP</v>
      </c>
      <c r="U11" s="68"/>
      <c r="V11" s="70">
        <f t="shared" si="2"/>
      </c>
    </row>
    <row r="12" spans="1:24" s="90" customFormat="1" ht="63.75">
      <c r="A12" s="89">
        <v>787</v>
      </c>
      <c r="B12" s="64" t="s">
        <v>18</v>
      </c>
      <c r="C12" s="64" t="s">
        <v>70</v>
      </c>
      <c r="D12" s="89" t="s">
        <v>127</v>
      </c>
      <c r="E12" s="89">
        <v>6</v>
      </c>
      <c r="F12" s="89" t="s">
        <v>137</v>
      </c>
      <c r="G12" s="89">
        <v>32</v>
      </c>
      <c r="H12" s="89">
        <v>49</v>
      </c>
      <c r="I12" s="64" t="s">
        <v>176</v>
      </c>
      <c r="J12" s="64" t="s">
        <v>20</v>
      </c>
      <c r="K12" s="96" t="s">
        <v>316</v>
      </c>
      <c r="L12" s="65" t="s">
        <v>280</v>
      </c>
      <c r="M12" s="66">
        <v>40493</v>
      </c>
      <c r="N12" s="62" t="s">
        <v>151</v>
      </c>
      <c r="O12" s="89" t="s">
        <v>68</v>
      </c>
      <c r="P12" s="90" t="s">
        <v>152</v>
      </c>
      <c r="Q12" s="91"/>
      <c r="S12" s="89">
        <f>IF(D12="E",L12,"")</f>
      </c>
      <c r="T12" s="89" t="str">
        <f>IF(OR(D12="T",D12="G"),L12,"")</f>
        <v>AP</v>
      </c>
      <c r="U12" s="89" t="e">
        <f>IF(OR(T12="A",T12="AP",T12="R",T12="Z"),#REF!,"")</f>
        <v>#REF!</v>
      </c>
      <c r="V12" s="89">
        <f>IF(OR(T12=0,T12="wp"),#REF!,"")</f>
      </c>
      <c r="W12" s="92">
        <v>40492</v>
      </c>
      <c r="X12" s="93">
        <f>IF(OR(T12="rdy2vote",T12="wp"),P12,"")</f>
      </c>
    </row>
    <row r="13" spans="1:24" s="90" customFormat="1" ht="38.25">
      <c r="A13" s="89">
        <v>693</v>
      </c>
      <c r="B13" s="64" t="s">
        <v>208</v>
      </c>
      <c r="C13" s="64" t="s">
        <v>74</v>
      </c>
      <c r="D13" s="89" t="s">
        <v>127</v>
      </c>
      <c r="E13" s="86">
        <v>6</v>
      </c>
      <c r="F13" s="86" t="s">
        <v>165</v>
      </c>
      <c r="G13" s="86">
        <v>32</v>
      </c>
      <c r="H13" s="86" t="s">
        <v>169</v>
      </c>
      <c r="I13" s="95" t="s">
        <v>170</v>
      </c>
      <c r="J13" s="96" t="s">
        <v>171</v>
      </c>
      <c r="K13" s="96" t="s">
        <v>316</v>
      </c>
      <c r="L13" s="65" t="s">
        <v>280</v>
      </c>
      <c r="M13" s="66">
        <v>40493</v>
      </c>
      <c r="N13" s="64" t="s">
        <v>151</v>
      </c>
      <c r="O13" s="89" t="s">
        <v>131</v>
      </c>
      <c r="P13" s="90" t="s">
        <v>152</v>
      </c>
      <c r="Q13" s="91"/>
      <c r="S13" s="89">
        <f>IF(D13="E",L13,"")</f>
      </c>
      <c r="T13" s="89" t="str">
        <f>IF(OR(D13="T",D13="G"),L13,"")</f>
        <v>AP</v>
      </c>
      <c r="U13" s="89" t="e">
        <f>IF(OR(T13="A",T13="AP",T13="R",T13="Z"),#REF!,"")</f>
        <v>#REF!</v>
      </c>
      <c r="V13" s="89">
        <f>IF(OR(T13=0,T13="wp"),#REF!,"")</f>
      </c>
      <c r="W13" s="92">
        <v>40492</v>
      </c>
      <c r="X13" s="93">
        <f>IF(OR(T13="rdy2vote",T13="wp"),P13,"")</f>
      </c>
    </row>
    <row r="14" spans="1:22" s="67" customFormat="1" ht="140.25">
      <c r="A14" s="62">
        <v>790</v>
      </c>
      <c r="B14" s="63" t="s">
        <v>18</v>
      </c>
      <c r="C14" s="63" t="s">
        <v>70</v>
      </c>
      <c r="D14" s="62" t="s">
        <v>127</v>
      </c>
      <c r="E14" s="62">
        <v>6</v>
      </c>
      <c r="F14" s="62" t="s">
        <v>137</v>
      </c>
      <c r="G14" s="62">
        <v>32</v>
      </c>
      <c r="H14" s="62">
        <v>51</v>
      </c>
      <c r="I14" s="64" t="s">
        <v>22</v>
      </c>
      <c r="J14" s="64" t="s">
        <v>23</v>
      </c>
      <c r="K14" s="64" t="s">
        <v>318</v>
      </c>
      <c r="L14" s="65" t="s">
        <v>280</v>
      </c>
      <c r="M14" s="66">
        <v>40493</v>
      </c>
      <c r="N14" s="64" t="s">
        <v>151</v>
      </c>
      <c r="O14" s="62" t="s">
        <v>68</v>
      </c>
      <c r="Q14" s="68"/>
      <c r="S14" s="69">
        <f t="shared" si="0"/>
      </c>
      <c r="T14" s="69" t="str">
        <f t="shared" si="1"/>
        <v>AP</v>
      </c>
      <c r="U14" s="68"/>
      <c r="V14" s="70">
        <f t="shared" si="2"/>
      </c>
    </row>
    <row r="15" spans="1:24" s="90" customFormat="1" ht="114.75">
      <c r="A15" s="89">
        <v>791</v>
      </c>
      <c r="B15" s="64" t="s">
        <v>18</v>
      </c>
      <c r="C15" s="64" t="s">
        <v>70</v>
      </c>
      <c r="D15" s="89" t="s">
        <v>127</v>
      </c>
      <c r="E15" s="89">
        <v>6</v>
      </c>
      <c r="F15" s="89" t="s">
        <v>177</v>
      </c>
      <c r="G15" s="89">
        <v>34</v>
      </c>
      <c r="H15" s="89">
        <v>4</v>
      </c>
      <c r="I15" s="64" t="s">
        <v>178</v>
      </c>
      <c r="J15" s="64" t="s">
        <v>179</v>
      </c>
      <c r="K15" s="64" t="s">
        <v>311</v>
      </c>
      <c r="L15" s="65" t="s">
        <v>283</v>
      </c>
      <c r="M15" s="66">
        <v>40493</v>
      </c>
      <c r="N15" s="64" t="s">
        <v>151</v>
      </c>
      <c r="O15" s="89" t="s">
        <v>68</v>
      </c>
      <c r="P15" s="90" t="s">
        <v>152</v>
      </c>
      <c r="Q15" s="91"/>
      <c r="S15" s="89">
        <f>IF(D15="E",L15,"")</f>
      </c>
      <c r="T15" s="89" t="str">
        <f>IF(OR(D15="T",D15="G"),L15,"")</f>
        <v>A</v>
      </c>
      <c r="U15" s="89" t="e">
        <f>IF(OR(T15="A",T15="AP",T15="R",T15="Z"),#REF!,"")</f>
        <v>#REF!</v>
      </c>
      <c r="V15" s="89">
        <f>IF(OR(T15=0,T15="wp"),#REF!,"")</f>
      </c>
      <c r="W15" s="92">
        <v>40492</v>
      </c>
      <c r="X15" s="93">
        <f>IF(OR(T15="rdy2vote",T15="wp"),P15,"")</f>
      </c>
    </row>
    <row r="16" spans="1:24" s="47" customFormat="1" ht="102">
      <c r="A16" s="45">
        <v>354</v>
      </c>
      <c r="B16" s="15" t="s">
        <v>83</v>
      </c>
      <c r="C16" s="15" t="s">
        <v>84</v>
      </c>
      <c r="D16" s="45" t="s">
        <v>127</v>
      </c>
      <c r="E16" s="45">
        <v>6</v>
      </c>
      <c r="F16" s="45" t="s">
        <v>132</v>
      </c>
      <c r="G16" s="45">
        <v>39</v>
      </c>
      <c r="H16" s="45">
        <v>49</v>
      </c>
      <c r="I16" s="15" t="s">
        <v>159</v>
      </c>
      <c r="J16" s="15" t="s">
        <v>160</v>
      </c>
      <c r="K16" s="15" t="s">
        <v>309</v>
      </c>
      <c r="L16" s="46" t="s">
        <v>319</v>
      </c>
      <c r="M16" s="60"/>
      <c r="N16" s="15" t="s">
        <v>151</v>
      </c>
      <c r="O16" s="45" t="s">
        <v>131</v>
      </c>
      <c r="P16" s="47" t="s">
        <v>152</v>
      </c>
      <c r="Q16" s="50"/>
      <c r="S16" s="45">
        <f>IF(D16="E",L16,"")</f>
      </c>
      <c r="T16" s="45" t="str">
        <f>IF(OR(D16="T",D16="G"),L16,"")</f>
        <v>wp</v>
      </c>
      <c r="U16" s="45">
        <f>IF(OR(T16="A",T16="AP",T16="R",T16="Z"),#REF!,"")</f>
      </c>
      <c r="V16" s="45" t="e">
        <f>IF(OR(T16=0,T16="wp"),#REF!,"")</f>
        <v>#REF!</v>
      </c>
      <c r="W16" s="48">
        <v>40492</v>
      </c>
      <c r="X16" s="49" t="str">
        <f>IF(OR(T16="rdy2vote",T16="wp"),P16,"")</f>
        <v>Chang</v>
      </c>
    </row>
    <row r="17" spans="1:22" s="67" customFormat="1" ht="76.5">
      <c r="A17" s="62">
        <v>797</v>
      </c>
      <c r="B17" s="63" t="s">
        <v>18</v>
      </c>
      <c r="C17" s="63" t="s">
        <v>70</v>
      </c>
      <c r="D17" s="62" t="s">
        <v>127</v>
      </c>
      <c r="E17" s="62">
        <v>6</v>
      </c>
      <c r="F17" s="62" t="s">
        <v>132</v>
      </c>
      <c r="G17" s="62">
        <v>39</v>
      </c>
      <c r="H17" s="62">
        <v>53</v>
      </c>
      <c r="I17" s="64" t="s">
        <v>24</v>
      </c>
      <c r="J17" s="64" t="s">
        <v>25</v>
      </c>
      <c r="K17" s="64" t="s">
        <v>320</v>
      </c>
      <c r="L17" s="65" t="s">
        <v>280</v>
      </c>
      <c r="M17" s="66">
        <v>40493</v>
      </c>
      <c r="N17" s="64" t="s">
        <v>151</v>
      </c>
      <c r="O17" s="62" t="s">
        <v>68</v>
      </c>
      <c r="Q17" s="68"/>
      <c r="S17" s="69">
        <f t="shared" si="0"/>
      </c>
      <c r="T17" s="69" t="str">
        <f t="shared" si="1"/>
        <v>AP</v>
      </c>
      <c r="U17" s="68"/>
      <c r="V17" s="70">
        <f t="shared" si="2"/>
      </c>
    </row>
    <row r="18" spans="1:24" s="90" customFormat="1" ht="63.75">
      <c r="A18" s="89">
        <v>218</v>
      </c>
      <c r="B18" s="64" t="s">
        <v>297</v>
      </c>
      <c r="C18" s="64" t="s">
        <v>64</v>
      </c>
      <c r="D18" s="89" t="s">
        <v>127</v>
      </c>
      <c r="E18" s="89">
        <v>6</v>
      </c>
      <c r="F18" s="89" t="s">
        <v>132</v>
      </c>
      <c r="G18" s="89">
        <v>40</v>
      </c>
      <c r="H18" s="89">
        <v>2</v>
      </c>
      <c r="I18" s="64" t="s">
        <v>156</v>
      </c>
      <c r="J18" s="64" t="s">
        <v>157</v>
      </c>
      <c r="K18" s="64" t="s">
        <v>321</v>
      </c>
      <c r="L18" s="65" t="s">
        <v>280</v>
      </c>
      <c r="M18" s="66">
        <v>40493</v>
      </c>
      <c r="N18" s="64" t="s">
        <v>151</v>
      </c>
      <c r="O18" s="89" t="s">
        <v>68</v>
      </c>
      <c r="P18" s="90" t="s">
        <v>152</v>
      </c>
      <c r="Q18" s="91"/>
      <c r="S18" s="89">
        <f>IF(D18="E",L18,"")</f>
      </c>
      <c r="T18" s="89" t="str">
        <f>IF(OR(D18="T",D18="G"),L18,"")</f>
        <v>AP</v>
      </c>
      <c r="U18" s="89" t="e">
        <f>IF(OR(T18="A",T18="AP",T18="R",T18="Z"),#REF!,"")</f>
        <v>#REF!</v>
      </c>
      <c r="V18" s="89">
        <f>IF(OR(T18=0,T18="wp"),#REF!,"")</f>
      </c>
      <c r="W18" s="92">
        <v>40492</v>
      </c>
      <c r="X18" s="93">
        <f>IF(OR(T18="rdy2vote",T18="wp"),P18,"")</f>
      </c>
    </row>
    <row r="19" spans="1:24" s="90" customFormat="1" ht="293.25">
      <c r="A19" s="89">
        <v>799</v>
      </c>
      <c r="B19" s="64" t="s">
        <v>18</v>
      </c>
      <c r="C19" s="64" t="s">
        <v>70</v>
      </c>
      <c r="D19" s="89" t="s">
        <v>127</v>
      </c>
      <c r="E19" s="89">
        <v>6</v>
      </c>
      <c r="F19" s="89" t="s">
        <v>132</v>
      </c>
      <c r="G19" s="89">
        <v>40</v>
      </c>
      <c r="H19" s="89">
        <v>3</v>
      </c>
      <c r="I19" s="64" t="s">
        <v>180</v>
      </c>
      <c r="J19" s="64" t="s">
        <v>181</v>
      </c>
      <c r="K19" s="64" t="s">
        <v>322</v>
      </c>
      <c r="L19" s="65" t="s">
        <v>280</v>
      </c>
      <c r="M19" s="66">
        <v>40493</v>
      </c>
      <c r="N19" s="64" t="s">
        <v>151</v>
      </c>
      <c r="O19" s="89" t="s">
        <v>68</v>
      </c>
      <c r="P19" s="90" t="s">
        <v>152</v>
      </c>
      <c r="Q19" s="91"/>
      <c r="S19" s="89">
        <f>IF(D19="E",L19,"")</f>
      </c>
      <c r="T19" s="89" t="str">
        <f>IF(OR(D19="T",D19="G"),L19,"")</f>
        <v>AP</v>
      </c>
      <c r="U19" s="89" t="e">
        <f>IF(OR(T19="A",T19="AP",T19="R",T19="Z"),#REF!,"")</f>
        <v>#REF!</v>
      </c>
      <c r="V19" s="89">
        <f>IF(OR(T19=0,T19="wp"),#REF!,"")</f>
      </c>
      <c r="W19" s="92">
        <v>40492</v>
      </c>
      <c r="X19" s="93">
        <f>IF(OR(T19="rdy2vote",T19="wp"),P19,"")</f>
      </c>
    </row>
    <row r="20" spans="1:22" ht="395.25">
      <c r="A20" s="21">
        <v>219</v>
      </c>
      <c r="B20" s="19" t="s">
        <v>297</v>
      </c>
      <c r="C20" s="19" t="s">
        <v>64</v>
      </c>
      <c r="D20" s="21" t="s">
        <v>127</v>
      </c>
      <c r="E20" s="21">
        <v>6</v>
      </c>
      <c r="F20" s="21" t="s">
        <v>132</v>
      </c>
      <c r="G20" s="21">
        <v>40</v>
      </c>
      <c r="H20" s="21">
        <v>12</v>
      </c>
      <c r="I20" s="15" t="s">
        <v>305</v>
      </c>
      <c r="J20" s="15" t="s">
        <v>306</v>
      </c>
      <c r="K20" s="15" t="s">
        <v>323</v>
      </c>
      <c r="L20" s="46" t="s">
        <v>319</v>
      </c>
      <c r="N20" s="15" t="s">
        <v>151</v>
      </c>
      <c r="O20" s="21" t="s">
        <v>131</v>
      </c>
      <c r="S20" s="44">
        <f t="shared" si="0"/>
      </c>
      <c r="T20" s="44" t="str">
        <f t="shared" si="1"/>
        <v>wp</v>
      </c>
      <c r="V20" s="52">
        <f t="shared" si="2"/>
        <v>0</v>
      </c>
    </row>
    <row r="21" spans="1:22" s="67" customFormat="1" ht="102">
      <c r="A21" s="62">
        <v>355</v>
      </c>
      <c r="B21" s="63" t="s">
        <v>83</v>
      </c>
      <c r="C21" s="63" t="s">
        <v>84</v>
      </c>
      <c r="D21" s="62" t="s">
        <v>127</v>
      </c>
      <c r="E21" s="62">
        <v>6</v>
      </c>
      <c r="F21" s="62" t="s">
        <v>132</v>
      </c>
      <c r="G21" s="62">
        <v>40</v>
      </c>
      <c r="H21" s="62">
        <v>13</v>
      </c>
      <c r="I21" s="64" t="s">
        <v>85</v>
      </c>
      <c r="J21" s="64" t="s">
        <v>86</v>
      </c>
      <c r="K21" s="64" t="s">
        <v>324</v>
      </c>
      <c r="L21" s="65" t="s">
        <v>284</v>
      </c>
      <c r="M21" s="66">
        <v>40493</v>
      </c>
      <c r="N21" s="64" t="s">
        <v>151</v>
      </c>
      <c r="O21" s="62" t="s">
        <v>131</v>
      </c>
      <c r="Q21" s="68"/>
      <c r="S21" s="69">
        <f t="shared" si="0"/>
      </c>
      <c r="T21" s="69" t="str">
        <f t="shared" si="1"/>
        <v>R</v>
      </c>
      <c r="U21" s="68"/>
      <c r="V21" s="70">
        <f t="shared" si="2"/>
      </c>
    </row>
    <row r="22" spans="1:22" s="67" customFormat="1" ht="102">
      <c r="A22" s="62">
        <v>220</v>
      </c>
      <c r="B22" s="63" t="s">
        <v>297</v>
      </c>
      <c r="C22" s="63" t="s">
        <v>64</v>
      </c>
      <c r="D22" s="62" t="s">
        <v>127</v>
      </c>
      <c r="E22" s="62">
        <v>6</v>
      </c>
      <c r="F22" s="62" t="s">
        <v>132</v>
      </c>
      <c r="G22" s="62">
        <v>40</v>
      </c>
      <c r="H22" s="62">
        <v>24</v>
      </c>
      <c r="I22" s="64" t="s">
        <v>307</v>
      </c>
      <c r="J22" s="64" t="s">
        <v>308</v>
      </c>
      <c r="K22" s="81" t="s">
        <v>239</v>
      </c>
      <c r="L22" s="65" t="s">
        <v>283</v>
      </c>
      <c r="M22" s="66">
        <v>40493</v>
      </c>
      <c r="N22" s="64" t="s">
        <v>151</v>
      </c>
      <c r="O22" s="62" t="s">
        <v>68</v>
      </c>
      <c r="Q22" s="68"/>
      <c r="S22" s="69">
        <f t="shared" si="0"/>
      </c>
      <c r="T22" s="69" t="str">
        <f t="shared" si="1"/>
        <v>A</v>
      </c>
      <c r="U22" s="68"/>
      <c r="V22" s="70">
        <f t="shared" si="2"/>
      </c>
    </row>
    <row r="23" spans="1:24" s="90" customFormat="1" ht="84.75" customHeight="1">
      <c r="A23" s="89">
        <v>802</v>
      </c>
      <c r="B23" s="64" t="s">
        <v>18</v>
      </c>
      <c r="C23" s="64" t="s">
        <v>70</v>
      </c>
      <c r="D23" s="89" t="s">
        <v>127</v>
      </c>
      <c r="E23" s="89">
        <v>6</v>
      </c>
      <c r="F23" s="89" t="s">
        <v>132</v>
      </c>
      <c r="G23" s="89">
        <v>40</v>
      </c>
      <c r="H23" s="89">
        <v>29</v>
      </c>
      <c r="I23" s="64" t="s">
        <v>182</v>
      </c>
      <c r="J23" s="64" t="s">
        <v>183</v>
      </c>
      <c r="K23" s="64" t="s">
        <v>325</v>
      </c>
      <c r="L23" s="65" t="s">
        <v>280</v>
      </c>
      <c r="M23" s="66">
        <v>40493</v>
      </c>
      <c r="N23" s="64" t="s">
        <v>151</v>
      </c>
      <c r="O23" s="89" t="s">
        <v>68</v>
      </c>
      <c r="P23" s="90" t="s">
        <v>152</v>
      </c>
      <c r="Q23" s="91"/>
      <c r="S23" s="89">
        <f>IF(D23="E",L23,"")</f>
      </c>
      <c r="T23" s="89" t="str">
        <f>IF(OR(D23="T",D23="G"),L23,"")</f>
        <v>AP</v>
      </c>
      <c r="U23" s="89" t="e">
        <f>IF(OR(T23="A",T23="AP",T23="R",T23="Z"),#REF!,"")</f>
        <v>#REF!</v>
      </c>
      <c r="V23" s="89">
        <f>IF(OR(T23=0,T23="wp"),#REF!,"")</f>
      </c>
      <c r="W23" s="92">
        <v>40492</v>
      </c>
      <c r="X23" s="93">
        <f>IF(OR(T23="rdy2vote",T23="wp"),P23,"")</f>
      </c>
    </row>
    <row r="24" spans="1:22" s="67" customFormat="1" ht="293.25">
      <c r="A24" s="62">
        <v>696</v>
      </c>
      <c r="B24" s="63" t="s">
        <v>208</v>
      </c>
      <c r="C24" s="63" t="s">
        <v>74</v>
      </c>
      <c r="D24" s="62" t="s">
        <v>127</v>
      </c>
      <c r="E24" s="83">
        <v>6</v>
      </c>
      <c r="F24" s="83" t="s">
        <v>132</v>
      </c>
      <c r="G24" s="83">
        <v>40</v>
      </c>
      <c r="H24" s="83" t="s">
        <v>209</v>
      </c>
      <c r="I24" s="95" t="s">
        <v>210</v>
      </c>
      <c r="J24" s="96" t="s">
        <v>211</v>
      </c>
      <c r="K24" s="95" t="s">
        <v>327</v>
      </c>
      <c r="L24" s="65" t="s">
        <v>280</v>
      </c>
      <c r="M24" s="66">
        <v>40493</v>
      </c>
      <c r="N24" s="64" t="s">
        <v>151</v>
      </c>
      <c r="O24" s="62" t="s">
        <v>131</v>
      </c>
      <c r="Q24" s="68"/>
      <c r="S24" s="69">
        <f t="shared" si="0"/>
      </c>
      <c r="T24" s="69" t="str">
        <f t="shared" si="1"/>
        <v>AP</v>
      </c>
      <c r="U24" s="68"/>
      <c r="V24" s="70">
        <f t="shared" si="2"/>
      </c>
    </row>
    <row r="25" spans="1:22" s="67" customFormat="1" ht="229.5">
      <c r="A25" s="62">
        <v>697</v>
      </c>
      <c r="B25" s="63" t="s">
        <v>208</v>
      </c>
      <c r="C25" s="63" t="s">
        <v>74</v>
      </c>
      <c r="D25" s="62" t="s">
        <v>127</v>
      </c>
      <c r="E25" s="83">
        <v>6</v>
      </c>
      <c r="F25" s="83" t="s">
        <v>132</v>
      </c>
      <c r="G25" s="83">
        <v>40</v>
      </c>
      <c r="H25" s="97"/>
      <c r="I25" s="95" t="s">
        <v>212</v>
      </c>
      <c r="J25" s="95" t="s">
        <v>279</v>
      </c>
      <c r="K25" s="95" t="s">
        <v>328</v>
      </c>
      <c r="L25" s="65" t="s">
        <v>280</v>
      </c>
      <c r="M25" s="66">
        <v>40493</v>
      </c>
      <c r="N25" s="64" t="s">
        <v>151</v>
      </c>
      <c r="O25" s="62" t="s">
        <v>131</v>
      </c>
      <c r="Q25" s="68"/>
      <c r="S25" s="69">
        <f t="shared" si="0"/>
      </c>
      <c r="T25" s="69" t="str">
        <f t="shared" si="1"/>
        <v>AP</v>
      </c>
      <c r="U25" s="68"/>
      <c r="V25" s="70">
        <f t="shared" si="2"/>
      </c>
    </row>
    <row r="26" spans="1:24" s="99" customFormat="1" ht="114.75">
      <c r="A26" s="89">
        <v>69</v>
      </c>
      <c r="B26" s="81" t="s">
        <v>141</v>
      </c>
      <c r="C26" s="81" t="s">
        <v>142</v>
      </c>
      <c r="D26" s="86" t="s">
        <v>127</v>
      </c>
      <c r="E26" s="86">
        <v>6</v>
      </c>
      <c r="F26" s="86" t="s">
        <v>132</v>
      </c>
      <c r="G26" s="86">
        <v>40</v>
      </c>
      <c r="H26" s="86">
        <v>36</v>
      </c>
      <c r="I26" s="81" t="s">
        <v>149</v>
      </c>
      <c r="J26" s="81" t="s">
        <v>150</v>
      </c>
      <c r="K26" s="64" t="s">
        <v>326</v>
      </c>
      <c r="L26" s="65" t="s">
        <v>280</v>
      </c>
      <c r="M26" s="85">
        <v>40493</v>
      </c>
      <c r="N26" s="64" t="s">
        <v>151</v>
      </c>
      <c r="O26" s="86"/>
      <c r="P26" s="90" t="s">
        <v>152</v>
      </c>
      <c r="Q26" s="98"/>
      <c r="S26" s="89">
        <f>IF(D26="E",L26,"")</f>
      </c>
      <c r="T26" s="89" t="str">
        <f>IF(OR(D26="T",D26="G"),L26,"")</f>
        <v>AP</v>
      </c>
      <c r="U26" s="89" t="e">
        <f>IF(OR(T26="A",T26="AP",T26="R",T26="Z"),#REF!,"")</f>
        <v>#REF!</v>
      </c>
      <c r="V26" s="89">
        <f>IF(OR(T26=0,T26="wp"),#REF!,"")</f>
      </c>
      <c r="W26" s="92">
        <v>40492</v>
      </c>
      <c r="X26" s="93">
        <f>IF(OR(T26="rdy2vote",T26="wp"),P26,"")</f>
      </c>
    </row>
    <row r="27" spans="1:22" s="67" customFormat="1" ht="140.25">
      <c r="A27" s="62">
        <v>698</v>
      </c>
      <c r="B27" s="63" t="s">
        <v>208</v>
      </c>
      <c r="C27" s="63" t="s">
        <v>117</v>
      </c>
      <c r="D27" s="62" t="s">
        <v>127</v>
      </c>
      <c r="E27" s="83">
        <v>6</v>
      </c>
      <c r="F27" s="83" t="s">
        <v>213</v>
      </c>
      <c r="G27" s="83">
        <v>40</v>
      </c>
      <c r="H27" s="97"/>
      <c r="I27" s="95" t="s">
        <v>214</v>
      </c>
      <c r="J27" s="96" t="s">
        <v>215</v>
      </c>
      <c r="K27" s="95" t="s">
        <v>337</v>
      </c>
      <c r="L27" s="65" t="s">
        <v>284</v>
      </c>
      <c r="M27" s="66">
        <v>40493</v>
      </c>
      <c r="N27" s="64" t="s">
        <v>151</v>
      </c>
      <c r="O27" s="62" t="s">
        <v>131</v>
      </c>
      <c r="Q27" s="68"/>
      <c r="S27" s="69">
        <f t="shared" si="0"/>
      </c>
      <c r="T27" s="69" t="str">
        <f t="shared" si="1"/>
        <v>R</v>
      </c>
      <c r="U27" s="68"/>
      <c r="V27" s="70">
        <f t="shared" si="2"/>
      </c>
    </row>
    <row r="28" spans="1:24" s="102" customFormat="1" ht="114.75">
      <c r="A28" s="101">
        <v>221</v>
      </c>
      <c r="B28" s="73" t="s">
        <v>297</v>
      </c>
      <c r="C28" s="73" t="s">
        <v>64</v>
      </c>
      <c r="D28" s="101" t="s">
        <v>127</v>
      </c>
      <c r="E28" s="101">
        <v>6</v>
      </c>
      <c r="F28" s="101" t="s">
        <v>132</v>
      </c>
      <c r="G28" s="101">
        <v>40</v>
      </c>
      <c r="H28" s="101">
        <v>53</v>
      </c>
      <c r="I28" s="73" t="s">
        <v>158</v>
      </c>
      <c r="J28" s="73" t="s">
        <v>303</v>
      </c>
      <c r="K28" s="73" t="s">
        <v>329</v>
      </c>
      <c r="L28" s="74" t="s">
        <v>319</v>
      </c>
      <c r="M28" s="75"/>
      <c r="N28" s="73" t="s">
        <v>151</v>
      </c>
      <c r="O28" s="101" t="s">
        <v>68</v>
      </c>
      <c r="P28" s="102" t="s">
        <v>152</v>
      </c>
      <c r="Q28" s="103"/>
      <c r="S28" s="101">
        <f>IF(D28="E",L28,"")</f>
      </c>
      <c r="T28" s="101" t="str">
        <f>IF(OR(D28="T",D28="G"),L28,"")</f>
        <v>wp</v>
      </c>
      <c r="U28" s="101">
        <f>IF(OR(T28="A",T28="AP",T28="R",T28="Z"),N28,"")</f>
      </c>
      <c r="V28" s="101" t="str">
        <f>IF(OR(T28=0,T28="wp"),N28,"")</f>
        <v>Mode Switch</v>
      </c>
      <c r="W28" s="104">
        <v>40492</v>
      </c>
      <c r="X28" s="105" t="str">
        <f>IF(OR(T28="rdy2vote",T28="wp"),P28,"")</f>
        <v>Chang</v>
      </c>
    </row>
    <row r="29" spans="1:24" s="90" customFormat="1" ht="63.75">
      <c r="A29" s="89">
        <v>153</v>
      </c>
      <c r="B29" s="64" t="s">
        <v>129</v>
      </c>
      <c r="C29" s="64" t="s">
        <v>153</v>
      </c>
      <c r="D29" s="89" t="s">
        <v>127</v>
      </c>
      <c r="E29" s="89">
        <v>6</v>
      </c>
      <c r="F29" s="89" t="s">
        <v>132</v>
      </c>
      <c r="G29" s="89">
        <v>41</v>
      </c>
      <c r="H29" s="89">
        <v>5</v>
      </c>
      <c r="I29" s="64" t="s">
        <v>154</v>
      </c>
      <c r="J29" s="64" t="s">
        <v>155</v>
      </c>
      <c r="K29" s="64" t="s">
        <v>345</v>
      </c>
      <c r="L29" s="65" t="s">
        <v>280</v>
      </c>
      <c r="M29" s="66">
        <v>40493</v>
      </c>
      <c r="N29" s="64" t="s">
        <v>151</v>
      </c>
      <c r="O29" s="89" t="s">
        <v>131</v>
      </c>
      <c r="P29" s="90" t="s">
        <v>152</v>
      </c>
      <c r="Q29" s="91"/>
      <c r="S29" s="89">
        <f>IF(D29="E",L29,"")</f>
      </c>
      <c r="T29" s="89" t="str">
        <f>IF(OR(D29="T",D29="G"),L29,"")</f>
        <v>AP</v>
      </c>
      <c r="U29" s="89" t="str">
        <f>IF(OR(T29="A",T29="AP",T29="R",T29="Z"),N29,"")</f>
        <v>Mode Switch</v>
      </c>
      <c r="V29" s="89">
        <f>IF(OR(T29=0,T29="wp"),N29,"")</f>
      </c>
      <c r="W29" s="92">
        <v>40492</v>
      </c>
      <c r="X29" s="93">
        <f>IF(OR(T29="rdy2vote",T29="wp"),P29,"")</f>
      </c>
    </row>
    <row r="30" spans="1:22" s="67" customFormat="1" ht="409.5">
      <c r="A30" s="62">
        <v>222</v>
      </c>
      <c r="B30" s="63" t="s">
        <v>297</v>
      </c>
      <c r="C30" s="63" t="s">
        <v>64</v>
      </c>
      <c r="D30" s="62" t="s">
        <v>127</v>
      </c>
      <c r="E30" s="62">
        <v>6</v>
      </c>
      <c r="F30" s="62" t="s">
        <v>132</v>
      </c>
      <c r="G30" s="62">
        <v>41</v>
      </c>
      <c r="H30" s="62">
        <v>5</v>
      </c>
      <c r="I30" s="64" t="s">
        <v>0</v>
      </c>
      <c r="J30" s="64" t="s">
        <v>1</v>
      </c>
      <c r="K30" s="81" t="s">
        <v>242</v>
      </c>
      <c r="L30" s="65" t="s">
        <v>285</v>
      </c>
      <c r="M30" s="66" t="s">
        <v>336</v>
      </c>
      <c r="N30" s="64" t="s">
        <v>151</v>
      </c>
      <c r="O30" s="62" t="s">
        <v>131</v>
      </c>
      <c r="Q30" s="68"/>
      <c r="S30" s="69">
        <f t="shared" si="0"/>
      </c>
      <c r="T30" s="69" t="str">
        <f t="shared" si="1"/>
        <v>Z</v>
      </c>
      <c r="U30" s="68"/>
      <c r="V30" s="70">
        <f t="shared" si="2"/>
      </c>
    </row>
    <row r="31" spans="1:22" ht="76.5">
      <c r="A31" s="21">
        <v>587</v>
      </c>
      <c r="B31" s="19" t="s">
        <v>47</v>
      </c>
      <c r="C31" s="19" t="s">
        <v>142</v>
      </c>
      <c r="D31" s="21" t="s">
        <v>127</v>
      </c>
      <c r="E31" s="21">
        <v>6</v>
      </c>
      <c r="F31" s="21" t="s">
        <v>132</v>
      </c>
      <c r="G31" s="21">
        <v>41</v>
      </c>
      <c r="H31" s="21">
        <v>6</v>
      </c>
      <c r="I31" s="15" t="s">
        <v>48</v>
      </c>
      <c r="J31" s="15" t="s">
        <v>49</v>
      </c>
      <c r="K31" s="15" t="s">
        <v>344</v>
      </c>
      <c r="L31" s="46" t="s">
        <v>284</v>
      </c>
      <c r="N31" s="15" t="s">
        <v>151</v>
      </c>
      <c r="S31" s="44">
        <f t="shared" si="0"/>
      </c>
      <c r="T31" s="44" t="str">
        <f t="shared" si="1"/>
        <v>R</v>
      </c>
      <c r="V31" s="52">
        <f t="shared" si="2"/>
      </c>
    </row>
    <row r="32" spans="1:22" s="67" customFormat="1" ht="102">
      <c r="A32" s="62">
        <v>356</v>
      </c>
      <c r="B32" s="63" t="s">
        <v>83</v>
      </c>
      <c r="C32" s="63" t="s">
        <v>84</v>
      </c>
      <c r="D32" s="62" t="s">
        <v>127</v>
      </c>
      <c r="E32" s="62">
        <v>6</v>
      </c>
      <c r="F32" s="62" t="s">
        <v>132</v>
      </c>
      <c r="G32" s="62">
        <v>41</v>
      </c>
      <c r="H32" s="62">
        <v>12</v>
      </c>
      <c r="I32" s="64" t="s">
        <v>87</v>
      </c>
      <c r="J32" s="64" t="s">
        <v>88</v>
      </c>
      <c r="K32" s="64" t="s">
        <v>330</v>
      </c>
      <c r="L32" s="65" t="s">
        <v>280</v>
      </c>
      <c r="M32" s="66">
        <v>40493</v>
      </c>
      <c r="N32" s="64" t="s">
        <v>151</v>
      </c>
      <c r="O32" s="62" t="s">
        <v>131</v>
      </c>
      <c r="Q32" s="68"/>
      <c r="S32" s="69">
        <f t="shared" si="0"/>
      </c>
      <c r="T32" s="69" t="str">
        <f t="shared" si="1"/>
        <v>AP</v>
      </c>
      <c r="U32" s="68"/>
      <c r="V32" s="70">
        <f t="shared" si="2"/>
      </c>
    </row>
    <row r="33" spans="1:22" ht="38.25">
      <c r="A33" s="21">
        <v>981</v>
      </c>
      <c r="B33" s="19" t="s">
        <v>34</v>
      </c>
      <c r="C33" s="19" t="s">
        <v>35</v>
      </c>
      <c r="D33" s="21" t="s">
        <v>128</v>
      </c>
      <c r="E33" s="21">
        <v>6</v>
      </c>
      <c r="F33" s="21" t="s">
        <v>132</v>
      </c>
      <c r="G33" s="21">
        <v>41</v>
      </c>
      <c r="H33" s="21" t="s">
        <v>3</v>
      </c>
      <c r="I33" s="15" t="s">
        <v>4</v>
      </c>
      <c r="J33" s="15" t="s">
        <v>2</v>
      </c>
      <c r="K33" s="15" t="s">
        <v>343</v>
      </c>
      <c r="L33" s="46" t="s">
        <v>280</v>
      </c>
      <c r="M33" s="60">
        <v>40493</v>
      </c>
      <c r="N33" s="15" t="s">
        <v>151</v>
      </c>
      <c r="O33" s="21" t="s">
        <v>131</v>
      </c>
      <c r="S33" s="44" t="str">
        <f t="shared" si="0"/>
        <v>AP</v>
      </c>
      <c r="T33" s="44">
        <f t="shared" si="1"/>
      </c>
      <c r="V33" s="52">
        <f t="shared" si="2"/>
      </c>
    </row>
    <row r="34" spans="1:22" ht="51">
      <c r="A34" s="21">
        <v>590</v>
      </c>
      <c r="B34" s="19" t="s">
        <v>47</v>
      </c>
      <c r="C34" s="19" t="s">
        <v>142</v>
      </c>
      <c r="D34" s="21" t="s">
        <v>127</v>
      </c>
      <c r="E34" s="21">
        <v>6</v>
      </c>
      <c r="F34" s="21" t="s">
        <v>99</v>
      </c>
      <c r="G34" s="21">
        <v>64</v>
      </c>
      <c r="H34" s="57" t="s">
        <v>50</v>
      </c>
      <c r="I34" s="15" t="s">
        <v>51</v>
      </c>
      <c r="J34" s="15" t="s">
        <v>52</v>
      </c>
      <c r="K34" s="15" t="s">
        <v>242</v>
      </c>
      <c r="L34" s="46" t="s">
        <v>285</v>
      </c>
      <c r="M34" s="60">
        <v>40521</v>
      </c>
      <c r="N34" s="15" t="s">
        <v>151</v>
      </c>
      <c r="S34" s="44">
        <f t="shared" si="0"/>
      </c>
      <c r="T34" s="44" t="str">
        <f t="shared" si="1"/>
        <v>Z</v>
      </c>
      <c r="V34" s="52">
        <f t="shared" si="2"/>
      </c>
    </row>
    <row r="35" spans="1:22" ht="369.75">
      <c r="A35" s="21">
        <v>204</v>
      </c>
      <c r="B35" s="19" t="s">
        <v>297</v>
      </c>
      <c r="C35" s="19" t="s">
        <v>64</v>
      </c>
      <c r="D35" s="21" t="s">
        <v>127</v>
      </c>
      <c r="E35" s="21">
        <v>6</v>
      </c>
      <c r="F35" s="21" t="s">
        <v>76</v>
      </c>
      <c r="G35" s="21">
        <v>67</v>
      </c>
      <c r="H35" s="21">
        <v>42</v>
      </c>
      <c r="I35" s="15" t="s">
        <v>298</v>
      </c>
      <c r="J35" s="15" t="s">
        <v>299</v>
      </c>
      <c r="K35" s="15" t="s">
        <v>346</v>
      </c>
      <c r="L35" s="46" t="s">
        <v>280</v>
      </c>
      <c r="N35" s="15" t="s">
        <v>151</v>
      </c>
      <c r="O35" s="21" t="s">
        <v>131</v>
      </c>
      <c r="S35" s="44">
        <f t="shared" si="0"/>
      </c>
      <c r="T35" s="44" t="str">
        <f t="shared" si="1"/>
        <v>AP</v>
      </c>
      <c r="V35" s="52">
        <f t="shared" si="2"/>
      </c>
    </row>
    <row r="36" spans="1:22" ht="331.5">
      <c r="A36" s="21">
        <v>276</v>
      </c>
      <c r="B36" s="19" t="s">
        <v>297</v>
      </c>
      <c r="C36" s="19" t="s">
        <v>64</v>
      </c>
      <c r="D36" s="21" t="s">
        <v>127</v>
      </c>
      <c r="E36" s="21">
        <v>6</v>
      </c>
      <c r="F36" s="21" t="s">
        <v>76</v>
      </c>
      <c r="G36" s="21">
        <v>67</v>
      </c>
      <c r="H36" s="21">
        <v>42</v>
      </c>
      <c r="I36" s="15" t="s">
        <v>286</v>
      </c>
      <c r="J36" s="15" t="s">
        <v>287</v>
      </c>
      <c r="K36" s="15" t="s">
        <v>340</v>
      </c>
      <c r="L36" s="46" t="s">
        <v>280</v>
      </c>
      <c r="N36" s="15" t="s">
        <v>151</v>
      </c>
      <c r="O36" s="21" t="s">
        <v>131</v>
      </c>
      <c r="S36" s="44">
        <f t="shared" si="0"/>
      </c>
      <c r="T36" s="44" t="str">
        <f t="shared" si="1"/>
        <v>AP</v>
      </c>
      <c r="V36" s="52">
        <f t="shared" si="2"/>
      </c>
    </row>
    <row r="37" spans="1:22" ht="127.5">
      <c r="A37" s="21">
        <v>593</v>
      </c>
      <c r="B37" s="19" t="s">
        <v>47</v>
      </c>
      <c r="C37" s="19" t="s">
        <v>142</v>
      </c>
      <c r="D37" s="21" t="s">
        <v>127</v>
      </c>
      <c r="E37" s="21">
        <v>6</v>
      </c>
      <c r="F37" s="21" t="s">
        <v>76</v>
      </c>
      <c r="G37" s="21">
        <v>67</v>
      </c>
      <c r="H37" s="57" t="s">
        <v>53</v>
      </c>
      <c r="I37" s="15" t="s">
        <v>54</v>
      </c>
      <c r="J37" s="15" t="s">
        <v>56</v>
      </c>
      <c r="K37" s="15" t="s">
        <v>348</v>
      </c>
      <c r="L37" s="46" t="s">
        <v>280</v>
      </c>
      <c r="N37" s="15" t="s">
        <v>151</v>
      </c>
      <c r="S37" s="44">
        <f t="shared" si="0"/>
      </c>
      <c r="T37" s="44" t="str">
        <f t="shared" si="1"/>
        <v>AP</v>
      </c>
      <c r="V37" s="52">
        <f t="shared" si="2"/>
      </c>
    </row>
    <row r="38" spans="1:22" ht="102">
      <c r="A38" s="21">
        <v>841</v>
      </c>
      <c r="B38" s="19" t="s">
        <v>18</v>
      </c>
      <c r="C38" s="19" t="s">
        <v>70</v>
      </c>
      <c r="D38" s="21" t="s">
        <v>127</v>
      </c>
      <c r="E38" s="21">
        <v>6</v>
      </c>
      <c r="F38" s="21" t="s">
        <v>76</v>
      </c>
      <c r="G38" s="21">
        <v>67</v>
      </c>
      <c r="H38" s="21">
        <v>48</v>
      </c>
      <c r="I38" s="15" t="s">
        <v>26</v>
      </c>
      <c r="J38" s="15" t="s">
        <v>27</v>
      </c>
      <c r="K38" s="51" t="s">
        <v>278</v>
      </c>
      <c r="L38" s="46" t="s">
        <v>280</v>
      </c>
      <c r="N38" s="15" t="s">
        <v>151</v>
      </c>
      <c r="O38" s="21" t="s">
        <v>68</v>
      </c>
      <c r="S38" s="44">
        <f t="shared" si="0"/>
      </c>
      <c r="T38" s="44" t="str">
        <f t="shared" si="1"/>
        <v>AP</v>
      </c>
      <c r="V38" s="52">
        <f t="shared" si="2"/>
      </c>
    </row>
    <row r="39" spans="1:22" s="76" customFormat="1" ht="76.5">
      <c r="A39" s="71">
        <v>213</v>
      </c>
      <c r="B39" s="72" t="s">
        <v>297</v>
      </c>
      <c r="C39" s="72" t="s">
        <v>64</v>
      </c>
      <c r="D39" s="71" t="s">
        <v>127</v>
      </c>
      <c r="E39" s="71">
        <v>6</v>
      </c>
      <c r="F39" s="71" t="s">
        <v>76</v>
      </c>
      <c r="G39" s="71">
        <v>67</v>
      </c>
      <c r="H39" s="71">
        <v>49</v>
      </c>
      <c r="I39" s="73" t="s">
        <v>302</v>
      </c>
      <c r="J39" s="73" t="s">
        <v>303</v>
      </c>
      <c r="K39" s="100" t="s">
        <v>278</v>
      </c>
      <c r="L39" s="74" t="s">
        <v>280</v>
      </c>
      <c r="M39" s="75"/>
      <c r="N39" s="73" t="s">
        <v>151</v>
      </c>
      <c r="O39" s="71" t="s">
        <v>131</v>
      </c>
      <c r="Q39" s="77"/>
      <c r="S39" s="78">
        <f t="shared" si="0"/>
      </c>
      <c r="T39" s="78" t="str">
        <f t="shared" si="1"/>
        <v>AP</v>
      </c>
      <c r="U39" s="77"/>
      <c r="V39" s="79">
        <f t="shared" si="2"/>
      </c>
    </row>
    <row r="40" spans="1:22" ht="76.5">
      <c r="A40" s="21">
        <v>215</v>
      </c>
      <c r="B40" s="19" t="s">
        <v>297</v>
      </c>
      <c r="C40" s="19" t="s">
        <v>64</v>
      </c>
      <c r="D40" s="21" t="s">
        <v>127</v>
      </c>
      <c r="E40" s="21">
        <v>6</v>
      </c>
      <c r="F40" s="21" t="s">
        <v>76</v>
      </c>
      <c r="G40" s="21">
        <v>67</v>
      </c>
      <c r="H40" s="21">
        <v>51</v>
      </c>
      <c r="I40" s="15" t="s">
        <v>304</v>
      </c>
      <c r="J40" s="15" t="s">
        <v>303</v>
      </c>
      <c r="K40" s="15" t="s">
        <v>339</v>
      </c>
      <c r="L40" s="46" t="s">
        <v>284</v>
      </c>
      <c r="N40" s="15" t="s">
        <v>151</v>
      </c>
      <c r="O40" s="21" t="s">
        <v>131</v>
      </c>
      <c r="S40" s="44">
        <f t="shared" si="0"/>
      </c>
      <c r="T40" s="44" t="str">
        <f t="shared" si="1"/>
        <v>R</v>
      </c>
      <c r="V40" s="52">
        <f t="shared" si="2"/>
      </c>
    </row>
    <row r="41" spans="1:22" ht="140.25">
      <c r="A41" s="21">
        <v>991</v>
      </c>
      <c r="B41" s="19" t="s">
        <v>34</v>
      </c>
      <c r="C41" s="19" t="s">
        <v>35</v>
      </c>
      <c r="D41" s="21" t="s">
        <v>127</v>
      </c>
      <c r="E41" s="21">
        <v>6</v>
      </c>
      <c r="F41" s="21" t="s">
        <v>76</v>
      </c>
      <c r="G41" s="21">
        <v>67</v>
      </c>
      <c r="H41" s="21" t="s">
        <v>5</v>
      </c>
      <c r="I41" s="15" t="s">
        <v>6</v>
      </c>
      <c r="J41" s="15" t="s">
        <v>7</v>
      </c>
      <c r="K41" s="51" t="s">
        <v>193</v>
      </c>
      <c r="L41" s="46" t="s">
        <v>280</v>
      </c>
      <c r="N41" s="15" t="s">
        <v>151</v>
      </c>
      <c r="O41" s="21" t="s">
        <v>131</v>
      </c>
      <c r="S41" s="44">
        <f t="shared" si="0"/>
      </c>
      <c r="T41" s="44" t="str">
        <f t="shared" si="1"/>
        <v>AP</v>
      </c>
      <c r="V41" s="52">
        <f t="shared" si="2"/>
      </c>
    </row>
    <row r="42" spans="1:22" s="67" customFormat="1" ht="102">
      <c r="A42" s="62">
        <v>1167</v>
      </c>
      <c r="B42" s="63" t="s">
        <v>291</v>
      </c>
      <c r="C42" s="63" t="s">
        <v>292</v>
      </c>
      <c r="D42" s="62" t="s">
        <v>127</v>
      </c>
      <c r="E42" s="62">
        <v>6</v>
      </c>
      <c r="F42" s="62" t="s">
        <v>76</v>
      </c>
      <c r="G42" s="62">
        <v>67</v>
      </c>
      <c r="H42" s="62" t="s">
        <v>293</v>
      </c>
      <c r="I42" s="106" t="s">
        <v>294</v>
      </c>
      <c r="J42" s="64" t="s">
        <v>295</v>
      </c>
      <c r="K42" s="64" t="s">
        <v>242</v>
      </c>
      <c r="L42" s="65" t="s">
        <v>285</v>
      </c>
      <c r="M42" s="66">
        <v>40493</v>
      </c>
      <c r="N42" s="64" t="s">
        <v>151</v>
      </c>
      <c r="O42" s="62" t="s">
        <v>131</v>
      </c>
      <c r="Q42" s="68"/>
      <c r="S42" s="69">
        <f t="shared" si="0"/>
      </c>
      <c r="T42" s="69" t="str">
        <f t="shared" si="1"/>
        <v>Z</v>
      </c>
      <c r="U42" s="68"/>
      <c r="V42" s="70">
        <f t="shared" si="2"/>
      </c>
    </row>
    <row r="43" spans="1:22" ht="25.5">
      <c r="A43" s="21">
        <v>190</v>
      </c>
      <c r="B43" s="19" t="s">
        <v>73</v>
      </c>
      <c r="C43" s="19" t="s">
        <v>74</v>
      </c>
      <c r="D43" s="21" t="s">
        <v>127</v>
      </c>
      <c r="E43" s="57" t="s">
        <v>75</v>
      </c>
      <c r="F43" s="57" t="s">
        <v>76</v>
      </c>
      <c r="G43" s="57" t="s">
        <v>77</v>
      </c>
      <c r="H43" s="57"/>
      <c r="I43" s="53" t="s">
        <v>78</v>
      </c>
      <c r="J43" s="54" t="s">
        <v>79</v>
      </c>
      <c r="K43" s="58" t="s">
        <v>278</v>
      </c>
      <c r="L43" s="46" t="s">
        <v>280</v>
      </c>
      <c r="N43" s="15" t="s">
        <v>151</v>
      </c>
      <c r="O43" s="21" t="s">
        <v>131</v>
      </c>
      <c r="S43" s="44">
        <f t="shared" si="0"/>
      </c>
      <c r="T43" s="44" t="str">
        <f t="shared" si="1"/>
        <v>AP</v>
      </c>
      <c r="V43" s="52">
        <f t="shared" si="2"/>
      </c>
    </row>
    <row r="44" spans="1:22" ht="25.5">
      <c r="A44" s="21">
        <v>702</v>
      </c>
      <c r="B44" s="19" t="s">
        <v>208</v>
      </c>
      <c r="C44" s="19" t="s">
        <v>74</v>
      </c>
      <c r="D44" s="21" t="s">
        <v>127</v>
      </c>
      <c r="E44" s="55">
        <v>6</v>
      </c>
      <c r="F44" s="55" t="s">
        <v>76</v>
      </c>
      <c r="G44" s="55">
        <v>67</v>
      </c>
      <c r="H44" s="56"/>
      <c r="I44" s="53" t="s">
        <v>216</v>
      </c>
      <c r="J44" s="54" t="s">
        <v>79</v>
      </c>
      <c r="K44" s="58" t="s">
        <v>278</v>
      </c>
      <c r="L44" s="46" t="s">
        <v>280</v>
      </c>
      <c r="N44" s="15" t="s">
        <v>151</v>
      </c>
      <c r="O44" s="21" t="s">
        <v>131</v>
      </c>
      <c r="S44" s="44">
        <f t="shared" si="0"/>
      </c>
      <c r="T44" s="44" t="str">
        <f t="shared" si="1"/>
        <v>AP</v>
      </c>
      <c r="V44" s="52">
        <f t="shared" si="2"/>
      </c>
    </row>
    <row r="45" spans="1:22" s="76" customFormat="1" ht="114.75">
      <c r="A45" s="71">
        <v>211</v>
      </c>
      <c r="B45" s="72" t="s">
        <v>297</v>
      </c>
      <c r="C45" s="72" t="s">
        <v>64</v>
      </c>
      <c r="D45" s="71" t="s">
        <v>127</v>
      </c>
      <c r="E45" s="71">
        <v>6</v>
      </c>
      <c r="F45" s="71" t="s">
        <v>76</v>
      </c>
      <c r="G45" s="71">
        <v>68</v>
      </c>
      <c r="H45" s="71">
        <v>2</v>
      </c>
      <c r="I45" s="73" t="s">
        <v>300</v>
      </c>
      <c r="J45" s="73" t="s">
        <v>301</v>
      </c>
      <c r="K45" s="73" t="s">
        <v>342</v>
      </c>
      <c r="L45" s="74" t="s">
        <v>283</v>
      </c>
      <c r="M45" s="75"/>
      <c r="N45" s="73" t="s">
        <v>151</v>
      </c>
      <c r="O45" s="71" t="s">
        <v>131</v>
      </c>
      <c r="Q45" s="77"/>
      <c r="S45" s="78">
        <f t="shared" si="0"/>
      </c>
      <c r="T45" s="78" t="str">
        <f t="shared" si="1"/>
        <v>A</v>
      </c>
      <c r="U45" s="77"/>
      <c r="V45" s="79">
        <f t="shared" si="2"/>
      </c>
    </row>
    <row r="46" spans="1:22" ht="76.5">
      <c r="A46" s="21">
        <v>614</v>
      </c>
      <c r="B46" s="19" t="s">
        <v>57</v>
      </c>
      <c r="C46" s="19" t="s">
        <v>58</v>
      </c>
      <c r="D46" s="21" t="s">
        <v>127</v>
      </c>
      <c r="E46" s="21">
        <v>6</v>
      </c>
      <c r="F46" s="21" t="s">
        <v>76</v>
      </c>
      <c r="G46" s="21">
        <v>68</v>
      </c>
      <c r="H46" s="21">
        <v>2</v>
      </c>
      <c r="I46" s="15" t="s">
        <v>59</v>
      </c>
      <c r="J46" s="15" t="s">
        <v>60</v>
      </c>
      <c r="K46" s="51" t="s">
        <v>194</v>
      </c>
      <c r="L46" s="46" t="s">
        <v>280</v>
      </c>
      <c r="N46" s="15" t="s">
        <v>151</v>
      </c>
      <c r="S46" s="44">
        <f t="shared" si="0"/>
      </c>
      <c r="T46" s="44" t="str">
        <f t="shared" si="1"/>
        <v>AP</v>
      </c>
      <c r="V46" s="52">
        <f t="shared" si="2"/>
      </c>
    </row>
    <row r="47" spans="1:22" ht="25.5">
      <c r="A47" s="21">
        <v>842</v>
      </c>
      <c r="B47" s="19" t="s">
        <v>18</v>
      </c>
      <c r="C47" s="19" t="s">
        <v>70</v>
      </c>
      <c r="D47" s="21" t="s">
        <v>128</v>
      </c>
      <c r="E47" s="21">
        <v>6</v>
      </c>
      <c r="F47" s="21" t="s">
        <v>76</v>
      </c>
      <c r="G47" s="21">
        <v>68</v>
      </c>
      <c r="H47" s="21">
        <v>2</v>
      </c>
      <c r="I47" s="15" t="s">
        <v>28</v>
      </c>
      <c r="J47" s="15" t="s">
        <v>29</v>
      </c>
      <c r="K47" s="51" t="s">
        <v>194</v>
      </c>
      <c r="L47" s="46" t="s">
        <v>280</v>
      </c>
      <c r="N47" s="15" t="s">
        <v>151</v>
      </c>
      <c r="O47" s="21" t="s">
        <v>68</v>
      </c>
      <c r="S47" s="44" t="str">
        <f t="shared" si="0"/>
        <v>AP</v>
      </c>
      <c r="T47" s="44">
        <f t="shared" si="1"/>
      </c>
      <c r="V47" s="52">
        <f t="shared" si="2"/>
      </c>
    </row>
    <row r="48" spans="1:22" ht="63.75">
      <c r="A48" s="21">
        <v>843</v>
      </c>
      <c r="B48" s="19" t="s">
        <v>18</v>
      </c>
      <c r="C48" s="19" t="s">
        <v>70</v>
      </c>
      <c r="D48" s="21" t="s">
        <v>127</v>
      </c>
      <c r="E48" s="21">
        <v>6</v>
      </c>
      <c r="F48" s="21" t="s">
        <v>76</v>
      </c>
      <c r="G48" s="21">
        <v>68</v>
      </c>
      <c r="H48" s="21">
        <v>12</v>
      </c>
      <c r="I48" s="15" t="s">
        <v>30</v>
      </c>
      <c r="J48" s="15" t="s">
        <v>19</v>
      </c>
      <c r="K48" s="15" t="s">
        <v>347</v>
      </c>
      <c r="L48" s="46" t="s">
        <v>280</v>
      </c>
      <c r="N48" s="15" t="s">
        <v>151</v>
      </c>
      <c r="O48" s="21" t="s">
        <v>68</v>
      </c>
      <c r="S48" s="44">
        <f t="shared" si="0"/>
      </c>
      <c r="T48" s="44" t="str">
        <f t="shared" si="1"/>
        <v>AP</v>
      </c>
      <c r="V48" s="52">
        <f t="shared" si="2"/>
      </c>
    </row>
    <row r="49" spans="1:22" ht="102">
      <c r="A49" s="21">
        <v>463</v>
      </c>
      <c r="B49" s="19" t="s">
        <v>94</v>
      </c>
      <c r="C49" s="19" t="s">
        <v>95</v>
      </c>
      <c r="D49" s="21" t="s">
        <v>127</v>
      </c>
      <c r="E49" s="21">
        <v>6</v>
      </c>
      <c r="F49" s="21" t="s">
        <v>76</v>
      </c>
      <c r="G49" s="21">
        <v>68</v>
      </c>
      <c r="H49" s="21">
        <v>12</v>
      </c>
      <c r="I49" s="15" t="s">
        <v>100</v>
      </c>
      <c r="J49" s="15" t="s">
        <v>96</v>
      </c>
      <c r="K49" s="51" t="s">
        <v>195</v>
      </c>
      <c r="L49" s="46" t="s">
        <v>280</v>
      </c>
      <c r="N49" s="15" t="s">
        <v>151</v>
      </c>
      <c r="O49" s="21" t="s">
        <v>131</v>
      </c>
      <c r="S49" s="44">
        <f t="shared" si="0"/>
      </c>
      <c r="T49" s="44" t="str">
        <f t="shared" si="1"/>
        <v>AP</v>
      </c>
      <c r="V49" s="52">
        <f t="shared" si="2"/>
      </c>
    </row>
    <row r="50" spans="1:22" ht="242.25">
      <c r="A50" s="21">
        <v>483</v>
      </c>
      <c r="B50" s="19" t="s">
        <v>36</v>
      </c>
      <c r="C50" s="19" t="s">
        <v>37</v>
      </c>
      <c r="D50" s="21" t="s">
        <v>67</v>
      </c>
      <c r="E50" s="21">
        <v>6</v>
      </c>
      <c r="F50" s="21" t="s">
        <v>76</v>
      </c>
      <c r="G50" s="21">
        <v>68</v>
      </c>
      <c r="H50" s="21">
        <v>21</v>
      </c>
      <c r="I50" s="15" t="s">
        <v>43</v>
      </c>
      <c r="J50" s="15" t="s">
        <v>44</v>
      </c>
      <c r="K50" s="51" t="s">
        <v>196</v>
      </c>
      <c r="L50" s="46" t="s">
        <v>280</v>
      </c>
      <c r="N50" s="15" t="s">
        <v>151</v>
      </c>
      <c r="S50" s="44">
        <f t="shared" si="0"/>
      </c>
      <c r="T50" s="44" t="str">
        <f t="shared" si="1"/>
        <v>AP</v>
      </c>
      <c r="V50" s="52">
        <f t="shared" si="2"/>
      </c>
    </row>
    <row r="51" spans="1:22" ht="114.75">
      <c r="A51" s="21">
        <v>994</v>
      </c>
      <c r="B51" s="19" t="s">
        <v>34</v>
      </c>
      <c r="C51" s="19" t="s">
        <v>35</v>
      </c>
      <c r="D51" s="21" t="s">
        <v>127</v>
      </c>
      <c r="E51" s="21">
        <v>6</v>
      </c>
      <c r="F51" s="21" t="s">
        <v>76</v>
      </c>
      <c r="G51" s="21">
        <v>68</v>
      </c>
      <c r="H51" s="21" t="s">
        <v>11</v>
      </c>
      <c r="I51" s="15" t="s">
        <v>12</v>
      </c>
      <c r="J51" s="15" t="s">
        <v>13</v>
      </c>
      <c r="K51" s="15" t="s">
        <v>341</v>
      </c>
      <c r="L51" s="46" t="s">
        <v>284</v>
      </c>
      <c r="N51" s="15" t="s">
        <v>151</v>
      </c>
      <c r="O51" s="21" t="s">
        <v>93</v>
      </c>
      <c r="S51" s="44">
        <f t="shared" si="0"/>
      </c>
      <c r="T51" s="44" t="str">
        <f t="shared" si="1"/>
        <v>R</v>
      </c>
      <c r="V51" s="52">
        <f t="shared" si="2"/>
      </c>
    </row>
    <row r="52" spans="1:22" ht="76.5">
      <c r="A52" s="21">
        <v>992</v>
      </c>
      <c r="B52" s="19" t="s">
        <v>34</v>
      </c>
      <c r="C52" s="19" t="s">
        <v>35</v>
      </c>
      <c r="D52" s="21" t="s">
        <v>127</v>
      </c>
      <c r="E52" s="21">
        <v>6</v>
      </c>
      <c r="F52" s="21" t="s">
        <v>76</v>
      </c>
      <c r="G52" s="21">
        <v>68</v>
      </c>
      <c r="H52" s="21" t="s">
        <v>8</v>
      </c>
      <c r="I52" s="15" t="s">
        <v>9</v>
      </c>
      <c r="J52" s="15" t="s">
        <v>10</v>
      </c>
      <c r="K52" s="51" t="s">
        <v>186</v>
      </c>
      <c r="L52" s="46" t="s">
        <v>280</v>
      </c>
      <c r="N52" s="15" t="s">
        <v>151</v>
      </c>
      <c r="O52" s="21" t="s">
        <v>131</v>
      </c>
      <c r="S52" s="44">
        <f t="shared" si="0"/>
      </c>
      <c r="T52" s="44" t="str">
        <f t="shared" si="1"/>
        <v>AP</v>
      </c>
      <c r="V52" s="52">
        <f t="shared" si="2"/>
      </c>
    </row>
    <row r="53" spans="1:22" ht="113.25" customHeight="1">
      <c r="A53" s="21">
        <v>191</v>
      </c>
      <c r="B53" s="19" t="s">
        <v>73</v>
      </c>
      <c r="C53" s="19" t="s">
        <v>74</v>
      </c>
      <c r="D53" s="21" t="s">
        <v>127</v>
      </c>
      <c r="E53" s="57" t="s">
        <v>75</v>
      </c>
      <c r="F53" s="57" t="s">
        <v>76</v>
      </c>
      <c r="G53" s="57" t="s">
        <v>80</v>
      </c>
      <c r="H53" s="57"/>
      <c r="I53" s="53" t="s">
        <v>81</v>
      </c>
      <c r="J53" s="54" t="s">
        <v>82</v>
      </c>
      <c r="K53" s="15" t="s">
        <v>185</v>
      </c>
      <c r="L53" s="46" t="s">
        <v>280</v>
      </c>
      <c r="N53" s="15" t="s">
        <v>151</v>
      </c>
      <c r="O53" s="21" t="s">
        <v>131</v>
      </c>
      <c r="S53" s="44">
        <f t="shared" si="0"/>
      </c>
      <c r="T53" s="44" t="str">
        <f t="shared" si="1"/>
        <v>AP</v>
      </c>
      <c r="V53" s="52">
        <f t="shared" si="2"/>
      </c>
    </row>
    <row r="54" spans="1:22" ht="293.25">
      <c r="A54" s="21">
        <v>703</v>
      </c>
      <c r="B54" s="19" t="s">
        <v>208</v>
      </c>
      <c r="C54" s="19" t="s">
        <v>74</v>
      </c>
      <c r="D54" s="21" t="s">
        <v>127</v>
      </c>
      <c r="E54" s="55">
        <v>6</v>
      </c>
      <c r="F54" s="55" t="s">
        <v>217</v>
      </c>
      <c r="G54" s="55">
        <v>68</v>
      </c>
      <c r="H54" s="56"/>
      <c r="I54" s="53" t="s">
        <v>218</v>
      </c>
      <c r="J54" s="54" t="s">
        <v>219</v>
      </c>
      <c r="K54" s="15" t="s">
        <v>185</v>
      </c>
      <c r="L54" s="46" t="s">
        <v>280</v>
      </c>
      <c r="N54" s="15" t="s">
        <v>151</v>
      </c>
      <c r="O54" s="21" t="s">
        <v>131</v>
      </c>
      <c r="S54" s="44">
        <f t="shared" si="0"/>
      </c>
      <c r="T54" s="44" t="str">
        <f t="shared" si="1"/>
        <v>AP</v>
      </c>
      <c r="V54" s="52">
        <f t="shared" si="2"/>
      </c>
    </row>
    <row r="55" spans="1:22" ht="242.25">
      <c r="A55" s="21">
        <v>482</v>
      </c>
      <c r="B55" s="19" t="s">
        <v>36</v>
      </c>
      <c r="C55" s="19" t="s">
        <v>37</v>
      </c>
      <c r="D55" s="21" t="s">
        <v>67</v>
      </c>
      <c r="E55" s="21">
        <v>6</v>
      </c>
      <c r="F55" s="21" t="s">
        <v>132</v>
      </c>
      <c r="G55" s="21">
        <v>39</v>
      </c>
      <c r="H55" s="21">
        <v>35</v>
      </c>
      <c r="I55" s="15" t="s">
        <v>41</v>
      </c>
      <c r="J55" s="15" t="s">
        <v>42</v>
      </c>
      <c r="K55" s="15" t="s">
        <v>338</v>
      </c>
      <c r="L55" s="46" t="s">
        <v>319</v>
      </c>
      <c r="N55" s="15" t="s">
        <v>151</v>
      </c>
      <c r="S55" s="44">
        <f t="shared" si="0"/>
      </c>
      <c r="T55" s="44" t="str">
        <f t="shared" si="1"/>
        <v>wp</v>
      </c>
      <c r="V55" s="52">
        <f t="shared" si="2"/>
        <v>0</v>
      </c>
    </row>
    <row r="56" spans="1:22" ht="63.75">
      <c r="A56" s="45">
        <v>605</v>
      </c>
      <c r="B56" s="15" t="s">
        <v>47</v>
      </c>
      <c r="C56" s="15" t="s">
        <v>142</v>
      </c>
      <c r="D56" s="45" t="s">
        <v>127</v>
      </c>
      <c r="E56" s="45">
        <v>7</v>
      </c>
      <c r="F56" s="45" t="s">
        <v>331</v>
      </c>
      <c r="G56" s="45">
        <v>130</v>
      </c>
      <c r="H56" s="45"/>
      <c r="I56" s="15" t="s">
        <v>332</v>
      </c>
      <c r="J56" s="15" t="s">
        <v>333</v>
      </c>
      <c r="K56" s="15" t="s">
        <v>334</v>
      </c>
      <c r="L56" s="46" t="s">
        <v>319</v>
      </c>
      <c r="N56" s="61" t="s">
        <v>151</v>
      </c>
      <c r="O56" s="45"/>
      <c r="P56" s="47" t="s">
        <v>152</v>
      </c>
      <c r="V56" s="52"/>
    </row>
    <row r="57" spans="1:24" s="47" customFormat="1" ht="51">
      <c r="A57" s="45">
        <v>472</v>
      </c>
      <c r="B57" s="15" t="s">
        <v>94</v>
      </c>
      <c r="C57" s="15" t="s">
        <v>95</v>
      </c>
      <c r="D57" s="45" t="s">
        <v>127</v>
      </c>
      <c r="E57" s="45" t="s">
        <v>161</v>
      </c>
      <c r="F57" s="45" t="s">
        <v>162</v>
      </c>
      <c r="G57" s="45">
        <v>138</v>
      </c>
      <c r="H57" s="59">
        <v>14</v>
      </c>
      <c r="I57" s="15" t="s">
        <v>163</v>
      </c>
      <c r="J57" s="15" t="s">
        <v>164</v>
      </c>
      <c r="K57" s="15" t="s">
        <v>335</v>
      </c>
      <c r="L57" s="46" t="s">
        <v>284</v>
      </c>
      <c r="M57" s="60"/>
      <c r="N57" s="15" t="s">
        <v>151</v>
      </c>
      <c r="O57" s="45" t="s">
        <v>131</v>
      </c>
      <c r="P57" s="47" t="s">
        <v>152</v>
      </c>
      <c r="Q57" s="50"/>
      <c r="S57" s="45">
        <f>IF(D57="E",L57,"")</f>
      </c>
      <c r="T57" s="45" t="str">
        <f>IF(OR(D57="T",D57="G"),L57,"")</f>
        <v>R</v>
      </c>
      <c r="U57" s="45" t="e">
        <f>IF(OR(T57="A",T57="AP",T57="R",T57="Z"),#REF!,"")</f>
        <v>#REF!</v>
      </c>
      <c r="V57" s="45">
        <f>IF(OR(T57=0,T57="wp"),#REF!,"")</f>
      </c>
      <c r="W57" s="48">
        <v>40492</v>
      </c>
      <c r="X57" s="49">
        <f>IF(OR(T57="rdy2vote",T57="wp"),P57,"")</f>
      </c>
    </row>
  </sheetData>
  <sheetProtection selectLockedCells="1" selectUnlockedCells="1"/>
  <autoFilter ref="A1:W57">
    <sortState ref="A2:W57">
      <sortCondition sortBy="fontColor" dxfId="0" ref="K2:K57"/>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10" max="10" width="25.7109375" style="0" customWidth="1"/>
    <col min="11" max="11" width="12.7109375" style="0" customWidth="1"/>
  </cols>
  <sheetData>
    <row r="2" spans="1:6" ht="13.5" customHeight="1">
      <c r="A2" s="31" t="s">
        <v>235</v>
      </c>
      <c r="B2" s="32">
        <f>SUM(B3:B11)</f>
        <v>51</v>
      </c>
      <c r="D2" s="31" t="s">
        <v>249</v>
      </c>
      <c r="E2" s="32">
        <f>SUM(E3:E11)</f>
        <v>54</v>
      </c>
      <c r="F2" s="40" t="str">
        <f>IF(E2=COUNTA(Comments!A2:Comments!#REF!),"Computed Tally is Correct","Computed Tally is Incorrect")</f>
        <v>Computed Tally is Incorrect</v>
      </c>
    </row>
    <row r="3" spans="1:11" ht="13.5" customHeight="1">
      <c r="A3" s="33" t="s">
        <v>236</v>
      </c>
      <c r="B3" s="34">
        <f>COUNTIF(Comments!T$2:T$55,"rdy2vote")</f>
        <v>0</v>
      </c>
      <c r="D3" s="33" t="s">
        <v>236</v>
      </c>
      <c r="E3" s="34">
        <f aca="true" t="shared" si="0" ref="E3:E11">B3+B16</f>
        <v>0</v>
      </c>
      <c r="J3" s="30" t="s">
        <v>233</v>
      </c>
      <c r="K3" s="30" t="s">
        <v>234</v>
      </c>
    </row>
    <row r="4" spans="1:11" ht="13.5" customHeight="1">
      <c r="A4" s="33" t="s">
        <v>237</v>
      </c>
      <c r="B4" s="34">
        <f>COUNTIF(Comments!T$2:T$55,"wp")</f>
        <v>4</v>
      </c>
      <c r="D4" s="33" t="s">
        <v>237</v>
      </c>
      <c r="E4" s="34">
        <f t="shared" si="0"/>
        <v>4</v>
      </c>
      <c r="J4" s="16" t="s">
        <v>133</v>
      </c>
      <c r="K4" s="22">
        <f>IF((COUNTIF(Comments!B$2:B$55,J4))=0,"",COUNTIF(Comments!B$2:B$55,J4))</f>
      </c>
    </row>
    <row r="5" spans="1:11" ht="13.5" customHeight="1">
      <c r="A5" s="33" t="s">
        <v>238</v>
      </c>
      <c r="B5" s="34">
        <f>COUNTIF(Comments!T$2:T$55,"0")</f>
        <v>0</v>
      </c>
      <c r="D5" s="33" t="s">
        <v>238</v>
      </c>
      <c r="E5" s="34">
        <f t="shared" si="0"/>
        <v>0</v>
      </c>
      <c r="J5" t="s">
        <v>134</v>
      </c>
      <c r="K5" s="22">
        <f>IF((COUNTIF(Comments!B$2:B$55,J5))=0,"",COUNTIF(Comments!B$2:B$55,J5))</f>
        <v>1</v>
      </c>
    </row>
    <row r="6" spans="1:11" ht="13.5" customHeight="1">
      <c r="A6" s="17" t="s">
        <v>239</v>
      </c>
      <c r="B6" s="22">
        <f>COUNTIF(Comments!T$2:T$55,"A")</f>
        <v>3</v>
      </c>
      <c r="D6" s="17" t="s">
        <v>239</v>
      </c>
      <c r="E6" s="22">
        <f t="shared" si="0"/>
        <v>3</v>
      </c>
      <c r="J6" t="s">
        <v>141</v>
      </c>
      <c r="K6" s="22">
        <f>IF((COUNTIF(Comments!B$2:B$55,J6))=0,"",COUNTIF(Comments!B$2:B$55,J6))</f>
        <v>2</v>
      </c>
    </row>
    <row r="7" spans="1:11" ht="13.5" customHeight="1">
      <c r="A7" s="17" t="s">
        <v>240</v>
      </c>
      <c r="B7" s="22">
        <f>COUNTIF(Comments!T$2:T$55,"R")</f>
        <v>5</v>
      </c>
      <c r="D7" s="17" t="s">
        <v>240</v>
      </c>
      <c r="E7" s="22">
        <f t="shared" si="0"/>
        <v>5</v>
      </c>
      <c r="J7" t="s">
        <v>296</v>
      </c>
      <c r="K7" s="22">
        <f>IF((COUNTIF(Comments!B$2:B$55,J7))=0,"",COUNTIF(Comments!B$2:B$55,J7))</f>
      </c>
    </row>
    <row r="8" spans="1:11" ht="13.5" customHeight="1">
      <c r="A8" s="17" t="s">
        <v>241</v>
      </c>
      <c r="B8" s="22">
        <f>COUNTIF(Comments!T$2:T$55,"AP")</f>
        <v>36</v>
      </c>
      <c r="D8" s="17" t="s">
        <v>241</v>
      </c>
      <c r="E8" s="22">
        <f t="shared" si="0"/>
        <v>39</v>
      </c>
      <c r="J8" t="s">
        <v>199</v>
      </c>
      <c r="K8" s="22">
        <f>IF((COUNTIF(Comments!B$2:B$55,J8))=0,"",COUNTIF(Comments!B$2:B$55,J8))</f>
      </c>
    </row>
    <row r="9" spans="1:11" ht="13.5" customHeight="1">
      <c r="A9" s="17" t="s">
        <v>242</v>
      </c>
      <c r="B9" s="22">
        <f>COUNTIF(Comments!T$2:T$55,"Z")</f>
        <v>3</v>
      </c>
      <c r="D9" s="17" t="s">
        <v>242</v>
      </c>
      <c r="E9" s="22">
        <f t="shared" si="0"/>
        <v>3</v>
      </c>
      <c r="J9" t="s">
        <v>198</v>
      </c>
      <c r="K9" s="22">
        <f>IF((COUNTIF(Comments!B$2:B$55,J9))=0,"",COUNTIF(Comments!B$2:B$55,J9))</f>
      </c>
    </row>
    <row r="10" spans="1:11" ht="13.5" customHeight="1">
      <c r="A10" t="s">
        <v>243</v>
      </c>
      <c r="B10" s="22">
        <f>COUNTIF(Comments!T$2:T$55,"Out Of Scope")</f>
        <v>0</v>
      </c>
      <c r="D10" t="s">
        <v>243</v>
      </c>
      <c r="E10" s="22">
        <f t="shared" si="0"/>
        <v>0</v>
      </c>
      <c r="J10" t="s">
        <v>129</v>
      </c>
      <c r="K10" s="22">
        <f>IF((COUNTIF(Comments!B$2:B$55,J10))=0,"",COUNTIF(Comments!B$2:B$55,J10))</f>
        <v>1</v>
      </c>
    </row>
    <row r="11" spans="1:11" ht="13.5" customHeight="1">
      <c r="A11" t="s">
        <v>244</v>
      </c>
      <c r="B11" s="22">
        <f>COUNTIF(Comments!T$2:T$55,"Unresolveable")</f>
        <v>0</v>
      </c>
      <c r="D11" t="s">
        <v>244</v>
      </c>
      <c r="E11" s="22">
        <f t="shared" si="0"/>
        <v>0</v>
      </c>
      <c r="J11" t="s">
        <v>66</v>
      </c>
      <c r="K11" s="22">
        <f>IF((COUNTIF(Comments!B$2:B$55,J11))=0,"",COUNTIF(Comments!B$2:B$55,J11))</f>
      </c>
    </row>
    <row r="12" spans="1:11" ht="13.5" customHeight="1">
      <c r="A12" t="s">
        <v>245</v>
      </c>
      <c r="B12" s="35">
        <f>SUM(B6:B11)</f>
        <v>47</v>
      </c>
      <c r="D12" t="s">
        <v>250</v>
      </c>
      <c r="E12" s="35">
        <f>SUM(E6:E11)</f>
        <v>50</v>
      </c>
      <c r="J12" t="s">
        <v>69</v>
      </c>
      <c r="K12" s="22">
        <f>IF((COUNTIF(Comments!B$2:B$55,J12))=0,"",COUNTIF(Comments!B$2:B$55,J12))</f>
      </c>
    </row>
    <row r="13" spans="1:11" ht="13.5" customHeight="1">
      <c r="A13" t="s">
        <v>246</v>
      </c>
      <c r="B13" s="36">
        <f>B12/B2</f>
        <v>0.9215686274509803</v>
      </c>
      <c r="D13" t="s">
        <v>251</v>
      </c>
      <c r="E13" s="36">
        <f>E12/E2</f>
        <v>0.9259259259259259</v>
      </c>
      <c r="J13" t="s">
        <v>71</v>
      </c>
      <c r="K13" s="22">
        <f>IF((COUNTIF(Comments!B$2:B$55,J13))=0,"",COUNTIF(Comments!B$2:B$55,J13))</f>
      </c>
    </row>
    <row r="14" spans="2:11" ht="13.5" customHeight="1">
      <c r="B14" s="22"/>
      <c r="J14" t="s">
        <v>72</v>
      </c>
      <c r="K14" s="22">
        <f>IF((COUNTIF(Comments!B$2:B$55,J14))=0,"",COUNTIF(Comments!B$2:B$55,J14))</f>
      </c>
    </row>
    <row r="15" spans="1:11" ht="13.5" customHeight="1">
      <c r="A15" s="31" t="s">
        <v>130</v>
      </c>
      <c r="B15" s="32">
        <f>SUM(B16:B24)</f>
        <v>3</v>
      </c>
      <c r="D15" s="31" t="s">
        <v>252</v>
      </c>
      <c r="F15" s="37"/>
      <c r="J15" t="s">
        <v>73</v>
      </c>
      <c r="K15" s="22">
        <f>IF((COUNTIF(Comments!B$2:B$55,J15))=0,"",COUNTIF(Comments!B$2:B$55,J15))</f>
        <v>2</v>
      </c>
    </row>
    <row r="16" spans="1:11" ht="13.5" customHeight="1">
      <c r="A16" s="33" t="s">
        <v>236</v>
      </c>
      <c r="B16" s="34">
        <f>COUNTIF(Comments!S$2:S$55,"rdy2vote")</f>
        <v>0</v>
      </c>
      <c r="D16" s="18" t="s">
        <v>253</v>
      </c>
      <c r="E16" s="38">
        <f>COUNTIF(Comments!N$2:N$55,"Bit Order")</f>
        <v>0</v>
      </c>
      <c r="F16" s="39"/>
      <c r="J16" t="s">
        <v>297</v>
      </c>
      <c r="K16" s="22">
        <f>IF((COUNTIF(Comments!B$2:B$55,J16))=0,"",COUNTIF(Comments!B$2:B$55,J16))</f>
        <v>10</v>
      </c>
    </row>
    <row r="17" spans="1:11" ht="13.5" customHeight="1">
      <c r="A17" s="33" t="s">
        <v>237</v>
      </c>
      <c r="B17" s="34">
        <f>COUNTIF(Comments!S$2:S$55,"wp")</f>
        <v>0</v>
      </c>
      <c r="D17" s="18" t="s">
        <v>254</v>
      </c>
      <c r="E17" s="17">
        <f>COUNTIF(Comments!N$2:N$55,"Channel Allocation")</f>
        <v>0</v>
      </c>
      <c r="F17" s="39"/>
      <c r="J17" t="s">
        <v>83</v>
      </c>
      <c r="K17" s="22">
        <f>IF((COUNTIF(Comments!B$2:B$55,J17))=0,"",COUNTIF(Comments!B$2:B$55,J17))</f>
        <v>3</v>
      </c>
    </row>
    <row r="18" spans="1:11" ht="13.5" customHeight="1">
      <c r="A18" s="33" t="s">
        <v>238</v>
      </c>
      <c r="B18" s="34">
        <f>COUNTIF(Comments!S$2:S$55,"0")</f>
        <v>0</v>
      </c>
      <c r="D18" s="18" t="s">
        <v>255</v>
      </c>
      <c r="E18" s="17">
        <f>COUNTIF(Comments!N$2:N$55,"Channel Page")</f>
        <v>0</v>
      </c>
      <c r="F18" s="39"/>
      <c r="J18" t="s">
        <v>89</v>
      </c>
      <c r="K18" s="22">
        <f>IF((COUNTIF(Comments!B$2:B$55,J18))=0,"",COUNTIF(Comments!B$2:B$55,J18))</f>
      </c>
    </row>
    <row r="19" spans="1:11" ht="13.5" customHeight="1">
      <c r="A19" s="17" t="s">
        <v>239</v>
      </c>
      <c r="B19" s="22">
        <f>COUNTIF(Comments!S$2:S$55,"A")</f>
        <v>0</v>
      </c>
      <c r="D19" s="18" t="s">
        <v>256</v>
      </c>
      <c r="E19" s="17">
        <f>COUNTIF(Comments!N$2:N$55,"Channelization")</f>
        <v>0</v>
      </c>
      <c r="F19" s="39"/>
      <c r="J19" t="s">
        <v>126</v>
      </c>
      <c r="K19" s="22">
        <f>IF((COUNTIF(Comments!B$2:B$55,J19))=0,"",COUNTIF(Comments!B$2:B$55,J19))</f>
      </c>
    </row>
    <row r="20" spans="1:11" ht="13.5" customHeight="1">
      <c r="A20" s="17" t="s">
        <v>240</v>
      </c>
      <c r="B20" s="22">
        <f>COUNTIF(Comments!S$2:S$55,"R")</f>
        <v>0</v>
      </c>
      <c r="D20" s="18" t="s">
        <v>257</v>
      </c>
      <c r="E20" s="17">
        <f>COUNTIF(Comments!N$2:N$55,"Coexistence")</f>
        <v>0</v>
      </c>
      <c r="F20" s="39"/>
      <c r="J20" t="s">
        <v>90</v>
      </c>
      <c r="K20" s="22">
        <f>IF((COUNTIF(Comments!B$2:B$55,J20))=0,"",COUNTIF(Comments!B$2:B$55,J20))</f>
      </c>
    </row>
    <row r="21" spans="1:11" ht="13.5" customHeight="1">
      <c r="A21" s="17" t="s">
        <v>241</v>
      </c>
      <c r="B21" s="22">
        <f>COUNTIF(Comments!S$2:S$55,"AP")</f>
        <v>3</v>
      </c>
      <c r="D21" s="18" t="s">
        <v>258</v>
      </c>
      <c r="E21" s="17">
        <f>COUNTIF(Comments!N$2:N$55,"CSM")</f>
        <v>0</v>
      </c>
      <c r="F21" s="39"/>
      <c r="J21" t="s">
        <v>94</v>
      </c>
      <c r="K21" s="22">
        <f>IF((COUNTIF(Comments!B$2:B$55,J21))=0,"",COUNTIF(Comments!B$2:B$55,J21))</f>
        <v>2</v>
      </c>
    </row>
    <row r="22" spans="1:11" ht="13.5" customHeight="1">
      <c r="A22" s="17" t="s">
        <v>242</v>
      </c>
      <c r="B22" s="22">
        <f>COUNTIF(Comments!S$2:S$55,"Z")</f>
        <v>0</v>
      </c>
      <c r="D22" s="18" t="s">
        <v>259</v>
      </c>
      <c r="E22" s="17">
        <f>COUNTIF(Comments!N$2:N$55,"Data Rate")</f>
        <v>0</v>
      </c>
      <c r="F22" s="39"/>
      <c r="J22" t="s">
        <v>36</v>
      </c>
      <c r="K22" s="22">
        <f>IF((COUNTIF(Comments!B$2:B$55,J22))=0,"",COUNTIF(Comments!B$2:B$55,J22))</f>
        <v>3</v>
      </c>
    </row>
    <row r="23" spans="1:11" ht="13.5" customHeight="1">
      <c r="A23" t="s">
        <v>243</v>
      </c>
      <c r="B23" s="22">
        <f>COUNTIF(Comments!S$2:S$55,"Out Of Scope")</f>
        <v>0</v>
      </c>
      <c r="D23" s="14" t="s">
        <v>130</v>
      </c>
      <c r="E23" s="38">
        <f>COUNTIF(Comments!N$2:N$55,"Editorial")</f>
        <v>0</v>
      </c>
      <c r="F23" s="39"/>
      <c r="J23" t="s">
        <v>200</v>
      </c>
      <c r="K23" s="22">
        <f>IF((COUNTIF(Comments!B$2:B$55,J23))=0,"",COUNTIF(Comments!B$2:B$55,J23))</f>
      </c>
    </row>
    <row r="24" spans="1:11" ht="13.5" customHeight="1">
      <c r="A24" t="s">
        <v>244</v>
      </c>
      <c r="B24" s="22">
        <f>COUNTIF(Comments!S$2:S$55,"Unresolveable")</f>
        <v>0</v>
      </c>
      <c r="D24" s="18" t="s">
        <v>260</v>
      </c>
      <c r="E24" s="38">
        <f>COUNTIF(Comments!N$2:N$55,"FEC")</f>
        <v>0</v>
      </c>
      <c r="F24" s="39"/>
      <c r="J24" t="s">
        <v>201</v>
      </c>
      <c r="K24" s="22">
        <f>IF((COUNTIF(Comments!B$2:B$55,J24))=0,"",COUNTIF(Comments!B$2:B$55,J24))</f>
      </c>
    </row>
    <row r="25" spans="1:11" ht="13.5" customHeight="1">
      <c r="A25" t="s">
        <v>247</v>
      </c>
      <c r="B25" s="35">
        <f>SUM(B19:B24)</f>
        <v>3</v>
      </c>
      <c r="D25" s="18" t="s">
        <v>261</v>
      </c>
      <c r="E25" s="38">
        <f>COUNTIF(Comments!N$2:N$55,"FH")</f>
        <v>0</v>
      </c>
      <c r="F25" s="39"/>
      <c r="J25" t="s">
        <v>46</v>
      </c>
      <c r="K25" s="22">
        <f>IF((COUNTIF(Comments!B$2:B$55,J25))=0,"",COUNTIF(Comments!B$2:B$55,J25))</f>
      </c>
    </row>
    <row r="26" spans="1:11" ht="13.5" customHeight="1">
      <c r="A26" t="s">
        <v>248</v>
      </c>
      <c r="B26" s="36">
        <f>B25/B15</f>
        <v>1</v>
      </c>
      <c r="D26" s="18" t="s">
        <v>262</v>
      </c>
      <c r="E26" s="38">
        <f>COUNTIF(Comments!N$2:N$55,"FSK")</f>
        <v>0</v>
      </c>
      <c r="F26" s="39"/>
      <c r="J26" t="s">
        <v>65</v>
      </c>
      <c r="K26" s="22">
        <f>IF((COUNTIF(Comments!B$2:B$55,J26))=0,"",COUNTIF(Comments!B$2:B$55,J26))</f>
      </c>
    </row>
    <row r="27" spans="2:11" ht="13.5" customHeight="1">
      <c r="B27" s="22"/>
      <c r="D27" s="18" t="s">
        <v>263</v>
      </c>
      <c r="E27" s="38">
        <f>COUNTIF(Comments!N$2:N$55,"Generic PHY")</f>
        <v>0</v>
      </c>
      <c r="F27" s="39"/>
      <c r="J27" t="s">
        <v>47</v>
      </c>
      <c r="K27" s="22">
        <f>IF((COUNTIF(Comments!B$2:B$55,J27))=0,"",COUNTIF(Comments!B$2:B$55,J27))</f>
        <v>3</v>
      </c>
    </row>
    <row r="28" spans="2:11" ht="13.5" customHeight="1">
      <c r="B28" s="22"/>
      <c r="D28" s="18" t="s">
        <v>264</v>
      </c>
      <c r="E28" s="38">
        <f>COUNTIF(Comments!N$2:N$55,"MAC")</f>
        <v>0</v>
      </c>
      <c r="F28" s="39"/>
      <c r="J28" t="s">
        <v>57</v>
      </c>
      <c r="K28" s="22">
        <f>IF((COUNTIF(Comments!B$2:B$55,J28))=0,"",COUNTIF(Comments!B$2:B$55,J28))</f>
        <v>1</v>
      </c>
    </row>
    <row r="29" spans="2:11" ht="13.5" customHeight="1">
      <c r="B29" s="22"/>
      <c r="D29" s="18" t="s">
        <v>40</v>
      </c>
      <c r="E29" s="17">
        <f>COUNTIF(Comments!N$2:N$55,"Modulation")</f>
        <v>0</v>
      </c>
      <c r="F29" s="39"/>
      <c r="J29" t="s">
        <v>61</v>
      </c>
      <c r="K29" s="22">
        <f>IF((COUNTIF(Comments!B$2:B$55,J29))=0,"",COUNTIF(Comments!B$2:B$55,J29))</f>
      </c>
    </row>
    <row r="30" spans="2:11" ht="13.5" customHeight="1">
      <c r="B30" s="22"/>
      <c r="D30" s="14" t="s">
        <v>265</v>
      </c>
      <c r="E30" s="17">
        <f>COUNTIF(Comments!N$2:N$55,"Minor T&amp;G")</f>
        <v>0</v>
      </c>
      <c r="F30" s="39"/>
      <c r="J30" t="s">
        <v>62</v>
      </c>
      <c r="K30" s="22">
        <f>IF((COUNTIF(Comments!B$2:B$55,J30))=0,"",COUNTIF(Comments!B$2:B$55,J30))</f>
      </c>
    </row>
    <row r="31" spans="2:11" ht="13.5" customHeight="1">
      <c r="B31" s="22"/>
      <c r="D31" s="18" t="s">
        <v>266</v>
      </c>
      <c r="E31" s="17">
        <f>COUNTIF(Comments!N$2:N$55,"OFDM")</f>
        <v>0</v>
      </c>
      <c r="F31" s="39"/>
      <c r="J31" t="s">
        <v>63</v>
      </c>
      <c r="K31" s="22">
        <f>IF((COUNTIF(Comments!B$2:B$55,J31))=0,"",COUNTIF(Comments!B$2:B$55,J31))</f>
      </c>
    </row>
    <row r="32" spans="2:11" ht="13.5" customHeight="1">
      <c r="B32" s="22"/>
      <c r="D32" s="18" t="s">
        <v>267</v>
      </c>
      <c r="E32">
        <f>COUNTIF(Comments!N$2:N$55,"OQPSK")</f>
        <v>0</v>
      </c>
      <c r="F32" s="39"/>
      <c r="J32" t="s">
        <v>288</v>
      </c>
      <c r="K32" s="22">
        <f>IF((COUNTIF(Comments!B$2:B$55,J32))=0,"",COUNTIF(Comments!B$2:B$55,J32))</f>
      </c>
    </row>
    <row r="33" spans="2:11" ht="13.5" customHeight="1">
      <c r="B33" s="22"/>
      <c r="D33" s="18" t="s">
        <v>268</v>
      </c>
      <c r="E33" s="38">
        <f>COUNTIF(Comments!N$2:N$55,"Preamble")</f>
        <v>0</v>
      </c>
      <c r="F33" s="39"/>
      <c r="J33" t="s">
        <v>208</v>
      </c>
      <c r="K33" s="22">
        <f>IF((COUNTIF(Comments!B$2:B$55,J33))=0,"",COUNTIF(Comments!B$2:B$55,J33))</f>
        <v>8</v>
      </c>
    </row>
    <row r="34" spans="2:11" ht="13.5" customHeight="1">
      <c r="B34" s="22"/>
      <c r="D34" s="18" t="s">
        <v>45</v>
      </c>
      <c r="E34" s="17">
        <f>COUNTIF(Comments!N$2:N$55,"Radio Specification")</f>
        <v>0</v>
      </c>
      <c r="F34" s="39"/>
      <c r="J34" t="s">
        <v>18</v>
      </c>
      <c r="K34" s="22">
        <f>IF((COUNTIF(Comments!B$2:B$55,J34))=0,"",COUNTIF(Comments!B$2:B$55,J34))</f>
        <v>12</v>
      </c>
    </row>
    <row r="35" spans="2:11" ht="13.5" customHeight="1">
      <c r="B35" s="22"/>
      <c r="D35" s="18" t="s">
        <v>269</v>
      </c>
      <c r="E35" s="38">
        <f>COUNTIF(Comments!N$2:N$55,"Scrambling")</f>
        <v>0</v>
      </c>
      <c r="F35" s="39"/>
      <c r="J35" t="s">
        <v>31</v>
      </c>
      <c r="K35" s="22">
        <f>IF((COUNTIF(Comments!B$2:B$55,J35))=0,"",COUNTIF(Comments!B$2:B$55,J35))</f>
      </c>
    </row>
    <row r="36" spans="2:11" ht="13.5" customHeight="1">
      <c r="B36" s="22"/>
      <c r="D36" s="18" t="s">
        <v>270</v>
      </c>
      <c r="E36" s="17">
        <f>COUNTIF(Comments!N$2:N$55,"SFD")</f>
        <v>0</v>
      </c>
      <c r="F36" s="39"/>
      <c r="J36" t="s">
        <v>32</v>
      </c>
      <c r="K36" s="22">
        <f>IF((COUNTIF(Comments!B$2:B$55,J36))=0,"",COUNTIF(Comments!B$2:B$55,J36))</f>
      </c>
    </row>
    <row r="37" spans="2:11" ht="13.5" customHeight="1">
      <c r="B37" s="22"/>
      <c r="D37" s="18" t="s">
        <v>271</v>
      </c>
      <c r="E37" s="17">
        <f>COUNTIF(Comments!N$2:N$55,"Switching")</f>
        <v>0</v>
      </c>
      <c r="F37" s="39"/>
      <c r="J37" t="s">
        <v>33</v>
      </c>
      <c r="K37" s="22">
        <f>IF((COUNTIF(Comments!B$2:B$55,J37))=0,"",COUNTIF(Comments!B$2:B$55,J37))</f>
      </c>
    </row>
    <row r="38" spans="2:11" ht="13.5" customHeight="1">
      <c r="B38" s="22"/>
      <c r="D38" s="43" t="s">
        <v>277</v>
      </c>
      <c r="E38" s="17">
        <f>COUNTIF(Comments!N$2:N$55,"")</f>
        <v>0</v>
      </c>
      <c r="J38" t="s">
        <v>34</v>
      </c>
      <c r="K38" s="22">
        <f>IF((COUNTIF(Comments!B$2:B$55,J38))=0,"",COUNTIF(Comments!B$2:B$55,J38))</f>
        <v>4</v>
      </c>
    </row>
    <row r="39" spans="2:11" ht="13.5" customHeight="1">
      <c r="B39" s="22"/>
      <c r="D39" s="30" t="s">
        <v>272</v>
      </c>
      <c r="E39" s="30">
        <f>SUM(E16:E38)</f>
        <v>0</v>
      </c>
      <c r="F39" s="40" t="str">
        <f>IF(E39=COUNTA(Comments!A2:Comments!#REF!),"Computed Tally is Correct","Computed Tally is Incorrect")</f>
        <v>Computed Tally is Incorrect</v>
      </c>
      <c r="J39" t="s">
        <v>14</v>
      </c>
      <c r="K39" s="22">
        <f>IF((COUNTIF(Comments!B$2:B$55,J39))=0,"",COUNTIF(Comments!B$2:B$55,J39))</f>
      </c>
    </row>
    <row r="40" spans="1:11" ht="13.5" customHeight="1">
      <c r="A40" s="41" t="s">
        <v>273</v>
      </c>
      <c r="B40" s="22"/>
      <c r="J40" t="s">
        <v>202</v>
      </c>
      <c r="K40" s="22">
        <f>IF((COUNTIF(Comments!B$2:B$55,J40))=0,"",COUNTIF(Comments!B$2:B$55,J40))</f>
      </c>
    </row>
    <row r="41" spans="1:11" ht="13.5" customHeight="1">
      <c r="A41" s="16" t="s">
        <v>276</v>
      </c>
      <c r="B41" s="22"/>
      <c r="J41" t="s">
        <v>92</v>
      </c>
      <c r="K41" s="22">
        <f>IF((COUNTIF(Comments!B$2:B$55,J41))=0,"",COUNTIF(Comments!B$2:B$55,J41))</f>
      </c>
    </row>
    <row r="42" spans="1:11" ht="13.5" customHeight="1">
      <c r="A42" s="16" t="s">
        <v>276</v>
      </c>
      <c r="B42" s="22"/>
      <c r="J42" t="s">
        <v>15</v>
      </c>
      <c r="K42" s="22">
        <f>IF((COUNTIF(Comments!B$2:B$55,J42))=0,"",COUNTIF(Comments!B$2:B$55,J42))</f>
      </c>
    </row>
    <row r="43" spans="1:11" ht="13.5" customHeight="1">
      <c r="A43" s="16" t="s">
        <v>276</v>
      </c>
      <c r="B43" s="22"/>
      <c r="J43" t="s">
        <v>16</v>
      </c>
      <c r="K43" s="22">
        <f>IF((COUNTIF(Comments!B$2:B$55,J43))=0,"",COUNTIF(Comments!B$2:B$55,J43))</f>
      </c>
    </row>
    <row r="44" spans="1:11" ht="13.5" customHeight="1">
      <c r="A44" s="16" t="s">
        <v>276</v>
      </c>
      <c r="B44" s="22"/>
      <c r="J44" t="s">
        <v>17</v>
      </c>
      <c r="K44" s="22">
        <f>IF((COUNTIF(Comments!B$2:B$55,J44))=0,"",COUNTIF(Comments!B$2:B$55,J44))</f>
      </c>
    </row>
    <row r="45" spans="1:11" ht="13.5" customHeight="1">
      <c r="A45" s="16" t="s">
        <v>276</v>
      </c>
      <c r="B45" s="22"/>
      <c r="J45" t="s">
        <v>203</v>
      </c>
      <c r="K45" s="22">
        <f>IF((COUNTIF(Comments!B$2:B$55,J45))=0,"",COUNTIF(Comments!B$2:B$55,J45))</f>
        <v>1</v>
      </c>
    </row>
    <row r="46" spans="1:11" ht="13.5" customHeight="1">
      <c r="A46" s="16" t="s">
        <v>276</v>
      </c>
      <c r="B46" s="22"/>
      <c r="J46" t="s">
        <v>204</v>
      </c>
      <c r="K46" s="22">
        <f>IF((COUNTIF(Comments!B$2:B$55,J46))=0,"",COUNTIF(Comments!B$2:B$55,J46))</f>
      </c>
    </row>
    <row r="47" spans="1:11" ht="13.5" customHeight="1">
      <c r="A47" s="16" t="s">
        <v>276</v>
      </c>
      <c r="B47" s="22"/>
      <c r="J47" t="s">
        <v>289</v>
      </c>
      <c r="K47" s="22">
        <f>IF((COUNTIF(Comments!B$2:B$55,J47))=0,"",COUNTIF(Comments!B$2:B$55,J47))</f>
      </c>
    </row>
    <row r="48" spans="1:11" ht="13.5" customHeight="1">
      <c r="A48" s="16" t="s">
        <v>276</v>
      </c>
      <c r="J48" t="s">
        <v>290</v>
      </c>
      <c r="K48" s="22">
        <f>IF((COUNTIF(Comments!B$2:B$55,J48))=0,"",COUNTIF(Comments!B$2:B$55,J48))</f>
      </c>
    </row>
    <row r="49" spans="1:11" ht="13.5" customHeight="1">
      <c r="A49" s="16" t="s">
        <v>276</v>
      </c>
      <c r="J49" t="s">
        <v>291</v>
      </c>
      <c r="K49" s="22">
        <f>IF((COUNTIF(Comments!B$2:B$55,J49))=0,"",COUNTIF(Comments!B$2:B$55,J49))</f>
        <v>1</v>
      </c>
    </row>
    <row r="50" spans="1:11" ht="13.5" customHeight="1">
      <c r="A50" s="16" t="s">
        <v>276</v>
      </c>
      <c r="B50" s="22"/>
      <c r="J50" t="s">
        <v>205</v>
      </c>
      <c r="K50" s="22">
        <f>IF((COUNTIF(Comments!B$2:B$55,J50))=0,"",COUNTIF(Comments!B$2:B$55,J50))</f>
      </c>
    </row>
    <row r="51" spans="1:11" ht="13.5" customHeight="1">
      <c r="A51" s="16" t="s">
        <v>276</v>
      </c>
      <c r="B51" s="22"/>
      <c r="J51" t="s">
        <v>206</v>
      </c>
      <c r="K51" s="22">
        <f>IF((COUNTIF(Comments!B$2:B$55,J51))=0,"",COUNTIF(Comments!B$2:B$55,J51))</f>
      </c>
    </row>
    <row r="52" spans="1:12" ht="13.5" customHeight="1">
      <c r="A52" s="16" t="s">
        <v>276</v>
      </c>
      <c r="J52">
        <f>COUNTA(J4:J51)</f>
        <v>48</v>
      </c>
      <c r="K52" s="30">
        <f>SUM(K4:K51)</f>
        <v>54</v>
      </c>
      <c r="L52" s="40" t="str">
        <f>IF(K52=COUNTA(Comments!A2:Comments!#REF!),"Computed Tally is Correct","Computed Tally is Incorrect")</f>
        <v>Computed Tally is Incorrect</v>
      </c>
    </row>
    <row r="53" ht="13.5" customHeight="1">
      <c r="A53" s="16" t="s">
        <v>276</v>
      </c>
    </row>
    <row r="54" ht="13.5" customHeight="1">
      <c r="A54" s="16" t="s">
        <v>276</v>
      </c>
    </row>
    <row r="55" ht="13.5" customHeight="1">
      <c r="A55" s="16" t="s">
        <v>276</v>
      </c>
    </row>
    <row r="56" ht="13.5" customHeight="1">
      <c r="A56" s="16" t="s">
        <v>276</v>
      </c>
    </row>
    <row r="57" ht="13.5" customHeight="1">
      <c r="A57" s="16" t="s">
        <v>276</v>
      </c>
    </row>
    <row r="58" ht="13.5" customHeight="1">
      <c r="A58" s="16" t="s">
        <v>276</v>
      </c>
    </row>
    <row r="59" ht="13.5" customHeight="1">
      <c r="A59" s="16" t="s">
        <v>276</v>
      </c>
    </row>
    <row r="60" ht="13.5" customHeight="1">
      <c r="A60" s="16" t="s">
        <v>276</v>
      </c>
    </row>
    <row r="61" spans="1:2" ht="13.5" customHeight="1">
      <c r="A61" s="20" t="s">
        <v>274</v>
      </c>
      <c r="B61" s="35">
        <f>SUM(B41:B60)</f>
        <v>0</v>
      </c>
    </row>
    <row r="62" spans="1:2" ht="13.5" customHeight="1">
      <c r="A62" t="s">
        <v>275</v>
      </c>
      <c r="B62" s="42">
        <f>B61/(B3+B4)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Kuor-Hsin</cp:lastModifiedBy>
  <dcterms:created xsi:type="dcterms:W3CDTF">2010-11-09T00:12:34Z</dcterms:created>
  <dcterms:modified xsi:type="dcterms:W3CDTF">2010-12-15T21:35:46Z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