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35" windowHeight="8700" activeTab="0"/>
  </bookViews>
  <sheets>
    <sheet name="Sheet1" sheetId="1" r:id="rId1"/>
    <sheet name="Sheet2" sheetId="2" r:id="rId2"/>
    <sheet name="Sheet3" sheetId="3" r:id="rId3"/>
  </sheets>
  <definedNames>
    <definedName name="aTurnArou">'Sheet1'!$B$10</definedName>
    <definedName name="aTurnArou2">'Sheet1'!$C$10</definedName>
    <definedName name="aTurnArou3">'Sheet1'!$D$10</definedName>
    <definedName name="aTurnArou4">'Sheet1'!$E$10</definedName>
    <definedName name="LIFS">'Sheet1'!$B$9</definedName>
    <definedName name="LIFS2">'Sheet1'!$C$9</definedName>
    <definedName name="LIFS3">'Sheet1'!$D$9</definedName>
    <definedName name="LIFS4">'Sheet1'!$E$9</definedName>
    <definedName name="PrSyms1">'Sheet1'!$B$2</definedName>
    <definedName name="PrSyms2">'Sheet1'!$C$2</definedName>
    <definedName name="PrSyms3">'Sheet1'!$D$2</definedName>
    <definedName name="PrSyms4">'Sheet1'!$E$2</definedName>
    <definedName name="Tdsym1">'Sheet1'!$B$19</definedName>
    <definedName name="Tdsym1M">'Sheet1'!$B$7</definedName>
    <definedName name="Tdsym2">'Sheet1'!$C$19</definedName>
    <definedName name="Tdsym3">'Sheet1'!$D$19</definedName>
    <definedName name="Tdsym4">'Sheet1'!$E$19</definedName>
    <definedName name="Tphr">'Sheet1'!$B$16</definedName>
    <definedName name="Tphr2">'Sheet1'!$H$16</definedName>
    <definedName name="Tphr3">'Sheet1'!$N$16</definedName>
    <definedName name="Tphr4">'Sheet1'!$T$16</definedName>
    <definedName name="Tpsym">'Sheet1'!$B$8</definedName>
    <definedName name="Tpsym2">'Sheet1'!$C$8</definedName>
    <definedName name="Tpsym3">'Sheet1'!$D$8</definedName>
    <definedName name="Tpsym4">'Sheet1'!$E$8</definedName>
    <definedName name="Tshr_16">'Sheet1'!$B$12</definedName>
    <definedName name="Tshr_16_64">'Sheet1'!$C$12</definedName>
    <definedName name="Tshr_1K">'Sheet1'!$B$14</definedName>
    <definedName name="Tshr_1K_64">'Sheet1'!$C$14</definedName>
    <definedName name="Tshr_4k">'Sheet1'!$B$15</definedName>
    <definedName name="Tshr_4K_64">'Sheet1'!$C$15</definedName>
    <definedName name="Tshr_64">'Sheet1'!$B$13</definedName>
    <definedName name="Tshr_64_64">'Sheet1'!$C$13</definedName>
    <definedName name="Tshr2_16_64">'Sheet1'!$I$12</definedName>
    <definedName name="Tshr2_16_8">'Sheet1'!$H$12</definedName>
    <definedName name="Tshr2_1K">'Sheet1'!$H$14</definedName>
    <definedName name="Tshr2_1K_64">'Sheet1'!$I$14</definedName>
    <definedName name="Tshr2_4K">'Sheet1'!$H$15</definedName>
    <definedName name="Tshr2_4k_64">'Sheet1'!$I$15</definedName>
    <definedName name="Tshr2_64">'Sheet1'!$H$13</definedName>
    <definedName name="Tshr2_64_64">'Sheet1'!$I$13</definedName>
    <definedName name="Tshr3_16_64">'Sheet1'!$O$12</definedName>
    <definedName name="Tshr3_16_8">'Sheet1'!$N$12</definedName>
    <definedName name="Tshr3_1K_64">'Sheet1'!$O$13+'Sheet1'!$O$14</definedName>
    <definedName name="Tshr3_1K_8">'Sheet1'!$N$14</definedName>
    <definedName name="Tshr3_4K_64">'Sheet1'!$O$15</definedName>
    <definedName name="Tshr3_4K_8">'Sheet1'!$N$15</definedName>
    <definedName name="Tshr3_64_64">'Sheet1'!$O$13</definedName>
    <definedName name="Tshr3_64_8">'Sheet1'!$N$13</definedName>
    <definedName name="Tshr4_16_64">'Sheet1'!$U$12</definedName>
    <definedName name="Tshr4_16_8">'Sheet1'!$T$12</definedName>
    <definedName name="Tshr4_1K_64">'Sheet1'!$U$14</definedName>
    <definedName name="Tshr4_1K_8">'Sheet1'!$T$14</definedName>
    <definedName name="Tshr4_4K_64">'Sheet1'!$U$15</definedName>
    <definedName name="Tshr4_4K_8">'Sheet1'!$T$15</definedName>
    <definedName name="Tshr4_64_64">'Sheet1'!$U$13</definedName>
    <definedName name="Tshr4_64_8">'Sheet1'!$T$13</definedName>
  </definedNames>
  <calcPr fullCalcOnLoad="1"/>
</workbook>
</file>

<file path=xl/sharedStrings.xml><?xml version="1.0" encoding="utf-8"?>
<sst xmlns="http://schemas.openxmlformats.org/spreadsheetml/2006/main" count="191" uniqueCount="43">
  <si>
    <t>Tdsym1M</t>
  </si>
  <si>
    <t>Tpsym</t>
  </si>
  <si>
    <t>PrSyms</t>
  </si>
  <si>
    <t xml:space="preserve">Tdsym </t>
  </si>
  <si>
    <t>LIFS</t>
  </si>
  <si>
    <t>aTurnArou</t>
  </si>
  <si>
    <t>Tphr</t>
  </si>
  <si>
    <t>PSDUsize</t>
  </si>
  <si>
    <t>Nsfd</t>
  </si>
  <si>
    <t>Nsfd=64</t>
  </si>
  <si>
    <t>Nsfd=8</t>
  </si>
  <si>
    <t>Tdpsdu</t>
  </si>
  <si>
    <t>Tshr-16</t>
  </si>
  <si>
    <t>Tshr-64</t>
  </si>
  <si>
    <t>Tshr-1K</t>
  </si>
  <si>
    <t>Tshr-4k</t>
  </si>
  <si>
    <t>F+LIFS+ta</t>
  </si>
  <si>
    <t>Tframe1</t>
  </si>
  <si>
    <t>FramePS</t>
  </si>
  <si>
    <t>sec</t>
  </si>
  <si>
    <t>Tshr_16</t>
  </si>
  <si>
    <t>Bit Rate, Mbps</t>
  </si>
  <si>
    <t>Tshr_64</t>
  </si>
  <si>
    <t>Tshr_1K</t>
  </si>
  <si>
    <t>Tshr_4K</t>
  </si>
  <si>
    <t>Tphr2</t>
  </si>
  <si>
    <t>Tphr3</t>
  </si>
  <si>
    <t>Tphr4</t>
  </si>
  <si>
    <t>Chan Group 1</t>
  </si>
  <si>
    <t>Chan Group 2</t>
  </si>
  <si>
    <t>Chan Group 3</t>
  </si>
  <si>
    <t>Chan Group 4</t>
  </si>
  <si>
    <t>ActMbpsPHY</t>
  </si>
  <si>
    <t>Ideal MAC</t>
  </si>
  <si>
    <t>ALOHA MAC</t>
  </si>
  <si>
    <t>NOTE: See IEEE P802. 15-06-0357-00-004a</t>
  </si>
  <si>
    <t>ActMbpsPHY is the maximum data rate based on max PPDU/sec possible;</t>
  </si>
  <si>
    <t xml:space="preserve">This XLS provides the calculations summarized in 06/0357.   </t>
  </si>
  <si>
    <t>Calculation for each channel group, for each data rate and preamble length, using only short preamble code</t>
  </si>
  <si>
    <t xml:space="preserve">ALOHA MAC is 15% of ActMbpsPHY, expected 15.4a channel utilization, as shown by MAC simulations with with ALOHA. </t>
  </si>
  <si>
    <t>Ideal MAC is 25% of ActMbps, max channel utilizatoin shown by MAC simulations with ideal channel access parameters</t>
  </si>
  <si>
    <t>Author: B. Rolfe</t>
  </si>
  <si>
    <t>Date: 4-Aug-06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</si>
</sst>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tabSelected="1" workbookViewId="0" topLeftCell="A1">
      <selection activeCell="P1" sqref="P1"/>
    </sheetView>
  </sheetViews>
  <sheetFormatPr defaultColWidth="9.140625" defaultRowHeight="12.75"/>
  <cols>
    <col min="1" max="1" width="13.7109375" style="0" customWidth="1"/>
    <col min="3" max="3" width="10.421875" style="0" customWidth="1"/>
    <col min="7" max="7" width="17.7109375" style="0" customWidth="1"/>
    <col min="13" max="13" width="18.28125" style="0" customWidth="1"/>
    <col min="19" max="19" width="18.140625" style="0" customWidth="1"/>
  </cols>
  <sheetData>
    <row r="1" spans="7:16" ht="16.5" thickTop="1">
      <c r="G1" s="4" t="s">
        <v>35</v>
      </c>
      <c r="H1" s="5"/>
      <c r="I1" s="5"/>
      <c r="J1" s="5"/>
      <c r="K1" s="5"/>
      <c r="L1" s="5"/>
      <c r="M1" s="5" t="s">
        <v>41</v>
      </c>
      <c r="N1" s="5" t="s">
        <v>42</v>
      </c>
      <c r="O1" s="5"/>
      <c r="P1" s="6"/>
    </row>
    <row r="2" spans="1:16" ht="12.75">
      <c r="A2" t="s">
        <v>2</v>
      </c>
      <c r="B2">
        <v>16</v>
      </c>
      <c r="C2">
        <v>64</v>
      </c>
      <c r="D2">
        <v>1024</v>
      </c>
      <c r="E2">
        <v>4096</v>
      </c>
      <c r="G2" s="7" t="s">
        <v>37</v>
      </c>
      <c r="H2" s="2"/>
      <c r="I2" s="2"/>
      <c r="J2" s="2"/>
      <c r="K2" s="2"/>
      <c r="L2" s="2"/>
      <c r="M2" s="2"/>
      <c r="N2" s="2"/>
      <c r="O2" s="2"/>
      <c r="P2" s="8"/>
    </row>
    <row r="3" spans="1:16" ht="12.75">
      <c r="A3" t="s">
        <v>0</v>
      </c>
      <c r="B3" s="1">
        <v>1025.64</v>
      </c>
      <c r="C3" s="1">
        <v>769.23</v>
      </c>
      <c r="D3" s="1">
        <v>946.75</v>
      </c>
      <c r="E3" s="1">
        <v>755.74</v>
      </c>
      <c r="G3" s="7" t="s">
        <v>38</v>
      </c>
      <c r="H3" s="3"/>
      <c r="I3" s="3"/>
      <c r="J3" s="3"/>
      <c r="K3" s="3"/>
      <c r="L3" s="2"/>
      <c r="M3" s="2"/>
      <c r="N3" s="2"/>
      <c r="O3" s="2"/>
      <c r="P3" s="8"/>
    </row>
    <row r="4" spans="1:16" ht="12.75">
      <c r="A4" t="s">
        <v>8</v>
      </c>
      <c r="B4" s="1">
        <v>8</v>
      </c>
      <c r="C4" s="1">
        <v>64</v>
      </c>
      <c r="D4" s="1"/>
      <c r="E4" s="1"/>
      <c r="G4" s="7" t="s">
        <v>36</v>
      </c>
      <c r="H4" s="2"/>
      <c r="I4" s="2"/>
      <c r="J4" s="2"/>
      <c r="K4" s="2"/>
      <c r="L4" s="2"/>
      <c r="M4" s="2"/>
      <c r="N4" s="2"/>
      <c r="O4" s="2"/>
      <c r="P4" s="8"/>
    </row>
    <row r="5" spans="1:16" ht="12.75">
      <c r="A5" t="s">
        <v>7</v>
      </c>
      <c r="B5" s="1">
        <v>127</v>
      </c>
      <c r="C5" s="1"/>
      <c r="D5" s="1"/>
      <c r="E5" s="1"/>
      <c r="G5" s="7" t="s">
        <v>40</v>
      </c>
      <c r="H5" s="2"/>
      <c r="I5" s="2"/>
      <c r="J5" s="2"/>
      <c r="K5" s="2"/>
      <c r="L5" s="2"/>
      <c r="M5" s="2"/>
      <c r="N5" s="2"/>
      <c r="O5" s="2"/>
      <c r="P5" s="8"/>
    </row>
    <row r="6" spans="2:16" ht="13.5" thickBot="1">
      <c r="B6" s="1"/>
      <c r="C6" s="1"/>
      <c r="D6" s="1"/>
      <c r="E6" s="1"/>
      <c r="G6" s="9" t="s">
        <v>39</v>
      </c>
      <c r="H6" s="10"/>
      <c r="I6" s="10"/>
      <c r="J6" s="10"/>
      <c r="K6" s="10"/>
      <c r="L6" s="10"/>
      <c r="M6" s="10"/>
      <c r="N6" s="10"/>
      <c r="O6" s="10"/>
      <c r="P6" s="11"/>
    </row>
    <row r="7" spans="2:5" ht="13.5" thickTop="1">
      <c r="B7" s="1"/>
      <c r="C7" s="1"/>
      <c r="D7" s="1"/>
      <c r="E7" s="1"/>
    </row>
    <row r="8" spans="1:5" ht="12.75">
      <c r="A8" t="s">
        <v>1</v>
      </c>
      <c r="B8" s="1">
        <v>993.59</v>
      </c>
      <c r="C8" s="1">
        <v>745.19</v>
      </c>
      <c r="D8" s="1">
        <v>917.16</v>
      </c>
      <c r="E8" s="1">
        <v>732.12</v>
      </c>
    </row>
    <row r="9" spans="1:5" ht="12.75">
      <c r="A9" t="s">
        <v>4</v>
      </c>
      <c r="B9" s="1">
        <f>40*B8</f>
        <v>39743.6</v>
      </c>
      <c r="C9" s="1">
        <f>40*C8</f>
        <v>29807.600000000002</v>
      </c>
      <c r="D9" s="1">
        <f>40*D8</f>
        <v>36686.4</v>
      </c>
      <c r="E9" s="1">
        <f>40*E8</f>
        <v>29284.8</v>
      </c>
    </row>
    <row r="10" spans="1:5" ht="12.75">
      <c r="A10" t="s">
        <v>5</v>
      </c>
      <c r="B10" s="1">
        <f>+B8*12</f>
        <v>11923.08</v>
      </c>
      <c r="C10" s="1">
        <f>+C8*12</f>
        <v>8942.28</v>
      </c>
      <c r="D10" s="1">
        <f>+D8*12</f>
        <v>11005.92</v>
      </c>
      <c r="E10" s="1">
        <f>+E8*12</f>
        <v>8785.44</v>
      </c>
    </row>
    <row r="11" spans="1:21" ht="12.75">
      <c r="A11" s="12" t="s">
        <v>28</v>
      </c>
      <c r="B11" t="s">
        <v>10</v>
      </c>
      <c r="C11" t="s">
        <v>9</v>
      </c>
      <c r="G11" s="12" t="s">
        <v>29</v>
      </c>
      <c r="H11" t="s">
        <v>10</v>
      </c>
      <c r="I11" t="s">
        <v>9</v>
      </c>
      <c r="M11" s="12" t="s">
        <v>30</v>
      </c>
      <c r="N11" t="s">
        <v>10</v>
      </c>
      <c r="O11" t="s">
        <v>9</v>
      </c>
      <c r="S11" s="12" t="s">
        <v>31</v>
      </c>
      <c r="T11" t="s">
        <v>10</v>
      </c>
      <c r="U11" t="s">
        <v>9</v>
      </c>
    </row>
    <row r="12" spans="1:21" ht="12.75">
      <c r="A12" t="s">
        <v>12</v>
      </c>
      <c r="B12">
        <f>+Tpsym*(8+PrSyms1)</f>
        <v>23846.16</v>
      </c>
      <c r="C12">
        <f>+Tpsym*(64+PrSyms1)</f>
        <v>79487.2</v>
      </c>
      <c r="G12" t="s">
        <v>12</v>
      </c>
      <c r="H12">
        <f>+Tpsym2*(8+PrSyms1)</f>
        <v>17884.56</v>
      </c>
      <c r="I12">
        <f>+Tpsym2*(64+PrSyms1)</f>
        <v>59615.200000000004</v>
      </c>
      <c r="M12" t="s">
        <v>12</v>
      </c>
      <c r="N12">
        <f>+Tpsym3*(8+PrSyms1)</f>
        <v>22011.84</v>
      </c>
      <c r="O12">
        <f>+Tpsym3*(64+PrSyms1)</f>
        <v>73372.8</v>
      </c>
      <c r="S12" t="s">
        <v>12</v>
      </c>
      <c r="T12">
        <f>+Tpsym4*(8+PrSyms1)</f>
        <v>17570.88</v>
      </c>
      <c r="U12">
        <f>+Tpsym4*(64+PrSyms1)</f>
        <v>58569.6</v>
      </c>
    </row>
    <row r="13" spans="1:21" ht="12.75">
      <c r="A13" t="s">
        <v>13</v>
      </c>
      <c r="B13">
        <f>+Tpsym*(8+PrSyms2)</f>
        <v>71538.48</v>
      </c>
      <c r="C13">
        <f>+Tpsym*(64+PrSyms2)</f>
        <v>127179.52</v>
      </c>
      <c r="G13" t="s">
        <v>13</v>
      </c>
      <c r="H13">
        <f>+Tpsym2*(8+PrSyms2)</f>
        <v>53653.68000000001</v>
      </c>
      <c r="I13">
        <f>+Tpsym2*(64+PrSyms2)</f>
        <v>95384.32</v>
      </c>
      <c r="M13" t="s">
        <v>13</v>
      </c>
      <c r="N13">
        <f>+Tpsym3*(8+PrSyms2)</f>
        <v>66035.52</v>
      </c>
      <c r="O13">
        <f>+Tpsym3*(64+PrSyms2)</f>
        <v>117396.48</v>
      </c>
      <c r="S13" t="s">
        <v>13</v>
      </c>
      <c r="T13">
        <f>+Tpsym4*(8+PrSyms2)</f>
        <v>52712.64</v>
      </c>
      <c r="U13">
        <f>+Tpsym4*(64+PrSyms2)</f>
        <v>93711.36</v>
      </c>
    </row>
    <row r="14" spans="1:21" ht="12.75">
      <c r="A14" t="s">
        <v>14</v>
      </c>
      <c r="B14">
        <f>+Tpsym*(8+PrSyms3)</f>
        <v>1025384.88</v>
      </c>
      <c r="C14">
        <f>+Tpsym*(64+PrSyms3)</f>
        <v>1081025.92</v>
      </c>
      <c r="G14" t="s">
        <v>14</v>
      </c>
      <c r="H14">
        <f>+Tpsym2*(8+PrSyms3)</f>
        <v>769036.0800000001</v>
      </c>
      <c r="I14">
        <f>+Tpsym2*(64+PrSyms3)</f>
        <v>810766.7200000001</v>
      </c>
      <c r="M14" t="s">
        <v>14</v>
      </c>
      <c r="N14">
        <f>+Tpsym3*(8+PrSyms3)</f>
        <v>946509.12</v>
      </c>
      <c r="O14">
        <f>+Tpsym3*(64+PrSyms3)</f>
        <v>997870.08</v>
      </c>
      <c r="S14" t="s">
        <v>14</v>
      </c>
      <c r="T14">
        <f>+Tpsym4*(8+PrSyms3)</f>
        <v>755547.84</v>
      </c>
      <c r="U14">
        <f>+Tpsym4*(64+PrSyms3)</f>
        <v>796546.56</v>
      </c>
    </row>
    <row r="15" spans="1:21" ht="12.75">
      <c r="A15" t="s">
        <v>15</v>
      </c>
      <c r="B15">
        <f>+Tpsym*(8+PrSyms4)</f>
        <v>4077693.3600000003</v>
      </c>
      <c r="C15">
        <f>+Tpsym*(64+PrSyms4)</f>
        <v>4133334.4</v>
      </c>
      <c r="G15" t="s">
        <v>15</v>
      </c>
      <c r="H15">
        <f>+Tpsym2*(8+PrSyms4)</f>
        <v>3058259.7600000002</v>
      </c>
      <c r="I15">
        <f>+Tpsym2*(64+PrSyms4)</f>
        <v>3099990.4000000004</v>
      </c>
      <c r="M15" t="s">
        <v>15</v>
      </c>
      <c r="N15">
        <f>+Tpsym3*(8+PrSyms4)</f>
        <v>3764024.6399999997</v>
      </c>
      <c r="O15">
        <f>+Tpsym3*(64+PrSyms4)</f>
        <v>3815385.6</v>
      </c>
      <c r="S15" t="s">
        <v>15</v>
      </c>
      <c r="T15">
        <f>+Tpsym4*(8+PrSyms4)</f>
        <v>3004620.48</v>
      </c>
      <c r="U15">
        <f>+Tpsym4*(64+PrSyms4)</f>
        <v>3045619.2</v>
      </c>
    </row>
    <row r="16" spans="1:20" ht="12.75">
      <c r="A16" t="s">
        <v>6</v>
      </c>
      <c r="B16">
        <f>16*C19</f>
        <v>16410.24</v>
      </c>
      <c r="G16" t="s">
        <v>25</v>
      </c>
      <c r="H16">
        <f>16*I19</f>
        <v>12307.68</v>
      </c>
      <c r="M16" t="s">
        <v>26</v>
      </c>
      <c r="N16">
        <f>16*O19</f>
        <v>15148</v>
      </c>
      <c r="S16" t="s">
        <v>27</v>
      </c>
      <c r="T16">
        <f>16*U19</f>
        <v>12307.68</v>
      </c>
    </row>
    <row r="17" spans="3:21" ht="12.75">
      <c r="C17" s="13" t="s">
        <v>0</v>
      </c>
      <c r="I17" t="s">
        <v>0</v>
      </c>
      <c r="O17" t="s">
        <v>0</v>
      </c>
      <c r="U17" t="s">
        <v>0</v>
      </c>
    </row>
    <row r="18" spans="1:23" ht="12.75">
      <c r="A18" t="s">
        <v>21</v>
      </c>
      <c r="B18" s="1">
        <v>0.11</v>
      </c>
      <c r="C18" s="1">
        <v>0.85</v>
      </c>
      <c r="D18" s="1">
        <v>6.81</v>
      </c>
      <c r="E18" s="1">
        <v>27.24</v>
      </c>
      <c r="G18" t="s">
        <v>21</v>
      </c>
      <c r="H18" s="1">
        <v>0.14</v>
      </c>
      <c r="I18" s="1">
        <v>1.13</v>
      </c>
      <c r="J18" s="1">
        <v>9.08</v>
      </c>
      <c r="K18" s="1">
        <v>36.32</v>
      </c>
      <c r="M18" t="s">
        <v>21</v>
      </c>
      <c r="N18" s="1">
        <v>0.12</v>
      </c>
      <c r="O18" s="1">
        <v>0.92</v>
      </c>
      <c r="P18" s="1">
        <v>7.38</v>
      </c>
      <c r="Q18" s="1">
        <v>29.51</v>
      </c>
      <c r="S18" t="s">
        <v>21</v>
      </c>
      <c r="T18" s="1">
        <v>0.14</v>
      </c>
      <c r="U18" s="1">
        <v>1.16</v>
      </c>
      <c r="V18" s="1">
        <v>9.24</v>
      </c>
      <c r="W18" s="1">
        <v>36.97</v>
      </c>
    </row>
    <row r="19" spans="1:23" ht="12.75">
      <c r="A19" t="s">
        <v>3</v>
      </c>
      <c r="B19" s="1">
        <v>8205.13</v>
      </c>
      <c r="C19" s="1">
        <v>1025.64</v>
      </c>
      <c r="D19" s="1">
        <v>128.21</v>
      </c>
      <c r="E19" s="1">
        <v>64.1</v>
      </c>
      <c r="G19" t="s">
        <v>3</v>
      </c>
      <c r="H19" s="1">
        <v>6153</v>
      </c>
      <c r="I19" s="1">
        <v>769.23</v>
      </c>
      <c r="J19" s="1">
        <v>96.15</v>
      </c>
      <c r="K19" s="1">
        <v>48.04</v>
      </c>
      <c r="M19" t="s">
        <v>3</v>
      </c>
      <c r="N19" s="1">
        <v>7573.96</v>
      </c>
      <c r="O19" s="1">
        <v>946.75</v>
      </c>
      <c r="P19" s="1">
        <v>118.34</v>
      </c>
      <c r="Q19" s="1">
        <v>59.17</v>
      </c>
      <c r="S19" t="s">
        <v>3</v>
      </c>
      <c r="T19" s="1">
        <v>6153</v>
      </c>
      <c r="U19" s="1">
        <v>769.23</v>
      </c>
      <c r="V19" s="1">
        <v>96.15</v>
      </c>
      <c r="W19" s="1">
        <v>48.04</v>
      </c>
    </row>
    <row r="20" spans="1:23" ht="12.75">
      <c r="A20" t="s">
        <v>11</v>
      </c>
      <c r="B20">
        <f>+B19*((127*8)/0.87)</f>
        <v>9582082.850574711</v>
      </c>
      <c r="C20">
        <f>+C19*((127*8)/0.87)</f>
        <v>1197758.8965517243</v>
      </c>
      <c r="D20">
        <f>+D19*((127*8)/0.87)</f>
        <v>149725.7011494253</v>
      </c>
      <c r="E20">
        <f>+E19*((127*8)/0.87)</f>
        <v>74857.01149425287</v>
      </c>
      <c r="G20" t="s">
        <v>11</v>
      </c>
      <c r="H20">
        <f>+H19*((127*8)/0.87)</f>
        <v>7185572.413793104</v>
      </c>
      <c r="I20">
        <f>+I19*((127*8)/0.87)</f>
        <v>898319.1724137932</v>
      </c>
      <c r="J20">
        <f>+J19*((127*8)/0.87)</f>
        <v>112285.51724137932</v>
      </c>
      <c r="K20">
        <f>+K19*((127*8)/0.87)</f>
        <v>56101.88505747126</v>
      </c>
      <c r="M20" t="s">
        <v>11</v>
      </c>
      <c r="N20">
        <f>+N19*((127*8)/0.87)</f>
        <v>8844992.367816092</v>
      </c>
      <c r="O20">
        <f>+O19*((127*8)/0.87)</f>
        <v>1105629.8850574712</v>
      </c>
      <c r="P20">
        <f>+P19*((127*8)/0.87)</f>
        <v>138199.3563218391</v>
      </c>
      <c r="Q20">
        <f>+Q19*((127*8)/0.87)</f>
        <v>69099.67816091955</v>
      </c>
      <c r="S20" t="s">
        <v>11</v>
      </c>
      <c r="T20">
        <f>+T19*((127*8)/0.87)</f>
        <v>7185572.413793104</v>
      </c>
      <c r="U20">
        <f>+U19*((127*8)/0.87)</f>
        <v>898319.1724137932</v>
      </c>
      <c r="V20">
        <f>+V19*((127*8)/0.87)</f>
        <v>112285.51724137932</v>
      </c>
      <c r="W20">
        <f>+W19*((127*8)/0.87)</f>
        <v>56101.88505747126</v>
      </c>
    </row>
    <row r="22" spans="1:19" ht="12.75">
      <c r="A22" t="s">
        <v>20</v>
      </c>
      <c r="G22" t="s">
        <v>20</v>
      </c>
      <c r="M22" t="s">
        <v>20</v>
      </c>
      <c r="S22" t="s">
        <v>20</v>
      </c>
    </row>
    <row r="23" spans="1:23" ht="12.75">
      <c r="A23" t="s">
        <v>17</v>
      </c>
      <c r="B23">
        <f>+Tphr+Tshr_16_64+B$20</f>
        <v>9677980.29057471</v>
      </c>
      <c r="C23">
        <f>+Tphr+Tshr_16+C$20</f>
        <v>1238015.2965517242</v>
      </c>
      <c r="D23">
        <f>+Tphr+Tshr_16+D$20</f>
        <v>189982.1011494253</v>
      </c>
      <c r="E23">
        <f>+Tphr+Tshr_16+E$20</f>
        <v>115113.41149425288</v>
      </c>
      <c r="G23" t="s">
        <v>17</v>
      </c>
      <c r="H23">
        <f>+Tphr2+Tshr2_16_64+H$20</f>
        <v>7257495.293793104</v>
      </c>
      <c r="I23">
        <f>+Tphr2+Tshr2_16_8+I$20</f>
        <v>928511.4124137932</v>
      </c>
      <c r="J23">
        <f>+Tphr2+Tshr2_16_8+J$20</f>
        <v>142477.75724137932</v>
      </c>
      <c r="K23">
        <f>+Tphr2+Tshr2_16_8+K$20</f>
        <v>86294.12505747126</v>
      </c>
      <c r="M23" t="s">
        <v>17</v>
      </c>
      <c r="N23">
        <f>+Tphr3+Tshr3_16_64+N$20</f>
        <v>8933513.167816093</v>
      </c>
      <c r="O23">
        <f>+Tphr3+Tshr3_16_8+O$20</f>
        <v>1142789.7250574713</v>
      </c>
      <c r="P23">
        <f>+Tphr3+Tshr3_16_8+P$20</f>
        <v>175359.1963218391</v>
      </c>
      <c r="Q23">
        <f>+Tphr3+Tshr3_16_8+Q$20</f>
        <v>106259.51816091954</v>
      </c>
      <c r="S23" t="s">
        <v>17</v>
      </c>
      <c r="T23">
        <f>+Tphr4+Tshr4_16_64+T$20</f>
        <v>7256449.693793104</v>
      </c>
      <c r="U23">
        <f>+Tphr4+Tshr4_16_8+U$20</f>
        <v>928197.7324137932</v>
      </c>
      <c r="V23">
        <f>+Tphr4+Tshr4_16_8+V$20</f>
        <v>142164.07724137933</v>
      </c>
      <c r="W23">
        <f>+Tphr4+Tshr4_16_8+W$20</f>
        <v>85980.44505747127</v>
      </c>
    </row>
    <row r="24" spans="1:23" ht="12.75">
      <c r="A24" t="s">
        <v>16</v>
      </c>
      <c r="B24">
        <f>+B23+LIFS+aTurnArou</f>
        <v>9729646.97057471</v>
      </c>
      <c r="C24">
        <f>+C23+LIFS+aTurnArou</f>
        <v>1289681.9765517244</v>
      </c>
      <c r="D24">
        <f>+D23+LIFS+aTurnArou</f>
        <v>241648.78114942528</v>
      </c>
      <c r="E24">
        <f>+E23+LIFS+aTurnArou</f>
        <v>166780.09149425288</v>
      </c>
      <c r="G24" t="s">
        <v>16</v>
      </c>
      <c r="H24">
        <f>+H23+LIFS2+aTurnArou2</f>
        <v>7296245.173793104</v>
      </c>
      <c r="I24">
        <f>+I23+LIFS2+aTurnArou2</f>
        <v>967261.2924137932</v>
      </c>
      <c r="J24">
        <f>+J23+LIFS2+aTurnArou2</f>
        <v>181227.63724137933</v>
      </c>
      <c r="K24">
        <f>+K23+LIFS2+aTurnArou2</f>
        <v>125044.00505747127</v>
      </c>
      <c r="M24" t="s">
        <v>16</v>
      </c>
      <c r="N24">
        <f>+N23+LIFS+aTurnArou</f>
        <v>8985179.847816093</v>
      </c>
      <c r="O24">
        <f>+O23+LIFS+aTurnArou</f>
        <v>1194456.4050574715</v>
      </c>
      <c r="P24">
        <f>+P23+LIFS+aTurnArou</f>
        <v>227025.87632183908</v>
      </c>
      <c r="Q24">
        <f>+Q23+LIFS+aTurnArou</f>
        <v>157926.19816091954</v>
      </c>
      <c r="S24" t="s">
        <v>16</v>
      </c>
      <c r="T24">
        <f>+T23+LIFS+aTurnArou</f>
        <v>7308116.373793104</v>
      </c>
      <c r="U24">
        <f>+U23+LIFS+aTurnArou</f>
        <v>979864.4124137932</v>
      </c>
      <c r="V24">
        <f>+V23+LIFS+aTurnArou</f>
        <v>193830.75724137932</v>
      </c>
      <c r="W24">
        <f>+W23+LIFS+aTurnArou</f>
        <v>137647.12505747125</v>
      </c>
    </row>
    <row r="25" spans="1:23" ht="12.75">
      <c r="A25" t="s">
        <v>19</v>
      </c>
      <c r="B25">
        <f>+B24/10000000000</f>
        <v>0.0009729646970574711</v>
      </c>
      <c r="C25">
        <f>+C24/10000000000</f>
        <v>0.00012896819765517242</v>
      </c>
      <c r="D25">
        <f>+D24/10000000000</f>
        <v>2.416487811494253E-05</v>
      </c>
      <c r="E25">
        <f>+E24/10000000000</f>
        <v>1.667800914942529E-05</v>
      </c>
      <c r="G25" t="s">
        <v>19</v>
      </c>
      <c r="H25">
        <f>+H24/10000000000</f>
        <v>0.0007296245173793104</v>
      </c>
      <c r="I25">
        <f>+I24/10000000000</f>
        <v>9.672612924137931E-05</v>
      </c>
      <c r="J25">
        <f>+J24/10000000000</f>
        <v>1.8122763724137934E-05</v>
      </c>
      <c r="K25">
        <f>+K24/10000000000</f>
        <v>1.2504400505747127E-05</v>
      </c>
      <c r="M25" t="s">
        <v>19</v>
      </c>
      <c r="N25">
        <f>+N24/10000000000</f>
        <v>0.0008985179847816093</v>
      </c>
      <c r="O25">
        <f>+O24/10000000000</f>
        <v>0.00011944564050574715</v>
      </c>
      <c r="P25">
        <f>+P24/10000000000</f>
        <v>2.2702587632183907E-05</v>
      </c>
      <c r="Q25">
        <f>+Q24/10000000000</f>
        <v>1.5792619816091952E-05</v>
      </c>
      <c r="S25" t="s">
        <v>19</v>
      </c>
      <c r="T25">
        <f>+T24/10000000000</f>
        <v>0.0007308116373793104</v>
      </c>
      <c r="U25">
        <f>+U24/10000000000</f>
        <v>9.798644124137931E-05</v>
      </c>
      <c r="V25">
        <f>+V24/10000000000</f>
        <v>1.9383075724137932E-05</v>
      </c>
      <c r="W25">
        <f>+W24/10000000000</f>
        <v>1.3764712505747125E-05</v>
      </c>
    </row>
    <row r="26" spans="1:23" ht="12.75">
      <c r="A26" t="s">
        <v>18</v>
      </c>
      <c r="B26">
        <f>1/B25</f>
        <v>1027.7865199264593</v>
      </c>
      <c r="C26">
        <f>1/C25</f>
        <v>7753.849539510052</v>
      </c>
      <c r="D26">
        <f>1/D25</f>
        <v>41382.373014397395</v>
      </c>
      <c r="E26">
        <f>1/E25</f>
        <v>59959.19483198384</v>
      </c>
      <c r="G26" t="s">
        <v>18</v>
      </c>
      <c r="H26">
        <f>1/H25</f>
        <v>1370.5679787075046</v>
      </c>
      <c r="I26">
        <f>1/I25</f>
        <v>10338.468083474194</v>
      </c>
      <c r="J26">
        <f>1/J25</f>
        <v>55179.22184617392</v>
      </c>
      <c r="K26">
        <f>1/K25</f>
        <v>79971.8466743281</v>
      </c>
      <c r="M26" t="s">
        <v>18</v>
      </c>
      <c r="N26">
        <f>1/N25</f>
        <v>1112.9437773502736</v>
      </c>
      <c r="O26">
        <f>1/O25</f>
        <v>8372.009189836315</v>
      </c>
      <c r="P26">
        <f>1/P25</f>
        <v>44047.842307736246</v>
      </c>
      <c r="Q26">
        <f>1/Q25</f>
        <v>63320.71636278144</v>
      </c>
      <c r="S26" t="s">
        <v>18</v>
      </c>
      <c r="T26">
        <f>1/T25</f>
        <v>1368.3416476316643</v>
      </c>
      <c r="U26">
        <f>1/U25</f>
        <v>10205.493610453766</v>
      </c>
      <c r="V26">
        <f>1/V25</f>
        <v>51591.39933373372</v>
      </c>
      <c r="W26">
        <f>1/W25</f>
        <v>72649.53769157722</v>
      </c>
    </row>
    <row r="27" spans="1:23" ht="12.75">
      <c r="A27" s="12" t="s">
        <v>32</v>
      </c>
      <c r="B27" s="14">
        <f>+B26*127*8/10000000</f>
        <v>0.10442311042452826</v>
      </c>
      <c r="C27" s="14">
        <f>+C26*127*8/10000000</f>
        <v>0.7877911132142212</v>
      </c>
      <c r="D27" s="14">
        <f>+D26*127*8/10000000</f>
        <v>4.204449098262776</v>
      </c>
      <c r="E27" s="14">
        <f>+E26*127*8/10000000</f>
        <v>6.091854194929558</v>
      </c>
      <c r="F27" s="12"/>
      <c r="G27" s="12" t="s">
        <v>32</v>
      </c>
      <c r="H27" s="14">
        <f>+H26*127*8/10000000</f>
        <v>0.13924970663668249</v>
      </c>
      <c r="I27" s="14">
        <f>+I26*127*8/10000000</f>
        <v>1.0503883572809782</v>
      </c>
      <c r="J27" s="14">
        <f>+J26*127*8/10000000</f>
        <v>5.60620893957127</v>
      </c>
      <c r="K27" s="14">
        <f>+K26*127*8/10000000</f>
        <v>8.125139622111735</v>
      </c>
      <c r="L27" s="12"/>
      <c r="M27" s="12" t="s">
        <v>32</v>
      </c>
      <c r="N27" s="14">
        <f>+N26*127*8/10000000</f>
        <v>0.1130750877787878</v>
      </c>
      <c r="O27" s="14">
        <f>+O26*127*8/10000000</f>
        <v>0.8505961336873697</v>
      </c>
      <c r="P27" s="14">
        <f>+P26*127*8/10000000</f>
        <v>4.475260778466002</v>
      </c>
      <c r="Q27" s="14">
        <f>+Q26*127*8/10000000</f>
        <v>6.433384782458594</v>
      </c>
      <c r="R27" s="12"/>
      <c r="S27" s="12" t="s">
        <v>32</v>
      </c>
      <c r="T27" s="14">
        <f>+T26*127*8/10000000</f>
        <v>0.1390235113993771</v>
      </c>
      <c r="U27" s="14">
        <f>+U26*127*8/10000000</f>
        <v>1.0368781508221026</v>
      </c>
      <c r="V27" s="14">
        <f>+V26*127*8/10000000</f>
        <v>5.241686172307346</v>
      </c>
      <c r="W27" s="14">
        <f>+W26*127*8/10000000</f>
        <v>7.381193029464247</v>
      </c>
    </row>
    <row r="28" spans="1:23" ht="12.75">
      <c r="A28" s="12" t="s">
        <v>33</v>
      </c>
      <c r="B28" s="14">
        <f>0.25*B27</f>
        <v>0.026105777606132065</v>
      </c>
      <c r="C28" s="14">
        <f>0.25*C27</f>
        <v>0.1969477783035553</v>
      </c>
      <c r="D28" s="14">
        <f>0.25*D27</f>
        <v>1.051112274565694</v>
      </c>
      <c r="E28" s="14">
        <f>0.25*E27</f>
        <v>1.5229635487323896</v>
      </c>
      <c r="F28" s="12"/>
      <c r="G28" s="12" t="s">
        <v>33</v>
      </c>
      <c r="H28" s="14">
        <f>0.25*H27</f>
        <v>0.03481242665917062</v>
      </c>
      <c r="I28" s="14">
        <f>0.25*I27</f>
        <v>0.26259708932024456</v>
      </c>
      <c r="J28" s="14">
        <f>0.25*J27</f>
        <v>1.4015522348928176</v>
      </c>
      <c r="K28" s="14">
        <f>0.25*K27</f>
        <v>2.031284905527934</v>
      </c>
      <c r="L28" s="12"/>
      <c r="M28" s="12" t="s">
        <v>33</v>
      </c>
      <c r="N28" s="14">
        <f>0.25*N27</f>
        <v>0.02826877194469695</v>
      </c>
      <c r="O28" s="14">
        <f>0.25*O27</f>
        <v>0.21264903342184244</v>
      </c>
      <c r="P28" s="14">
        <f>0.25*P27</f>
        <v>1.1188151946165006</v>
      </c>
      <c r="Q28" s="14">
        <f>0.25*Q27</f>
        <v>1.6083461956146485</v>
      </c>
      <c r="R28" s="12"/>
      <c r="S28" s="12" t="s">
        <v>33</v>
      </c>
      <c r="T28" s="14">
        <f>0.25*T27</f>
        <v>0.034755877849844276</v>
      </c>
      <c r="U28" s="14">
        <f>0.25*U27</f>
        <v>0.25921953770552564</v>
      </c>
      <c r="V28" s="14">
        <f>0.25*V27</f>
        <v>1.3104215430768364</v>
      </c>
      <c r="W28" s="14">
        <f>0.25*W27</f>
        <v>1.8452982573660617</v>
      </c>
    </row>
    <row r="29" spans="1:23" ht="12.75">
      <c r="A29" s="12" t="s">
        <v>34</v>
      </c>
      <c r="B29" s="14">
        <f>0.15*B27</f>
        <v>0.01566346656367924</v>
      </c>
      <c r="C29" s="14">
        <f>0.15*C27</f>
        <v>0.11816866698213319</v>
      </c>
      <c r="D29" s="14">
        <f>0.15*D27</f>
        <v>0.6306673647394164</v>
      </c>
      <c r="E29" s="14">
        <f>0.15*E27</f>
        <v>0.9137781292394337</v>
      </c>
      <c r="F29" s="12"/>
      <c r="G29" s="12" t="s">
        <v>34</v>
      </c>
      <c r="H29" s="14">
        <f>0.15*H27</f>
        <v>0.02088745599550237</v>
      </c>
      <c r="I29" s="14">
        <f>0.15*I27</f>
        <v>0.15755825359214673</v>
      </c>
      <c r="J29" s="14">
        <f>0.15*J27</f>
        <v>0.8409313409356906</v>
      </c>
      <c r="K29" s="14">
        <f>0.15*K27</f>
        <v>1.2187709433167602</v>
      </c>
      <c r="L29" s="12"/>
      <c r="M29" s="12" t="s">
        <v>34</v>
      </c>
      <c r="N29" s="14">
        <f>0.15*N27</f>
        <v>0.01696126316681817</v>
      </c>
      <c r="O29" s="14">
        <f>0.15*O27</f>
        <v>0.12758942005310545</v>
      </c>
      <c r="P29" s="14">
        <f>0.15*P27</f>
        <v>0.6712891167699003</v>
      </c>
      <c r="Q29" s="14">
        <f>0.15*Q27</f>
        <v>0.9650077173687891</v>
      </c>
      <c r="R29" s="12"/>
      <c r="S29" s="12" t="s">
        <v>34</v>
      </c>
      <c r="T29" s="14">
        <f>0.15*T27</f>
        <v>0.020853526709906565</v>
      </c>
      <c r="U29" s="14">
        <f>0.15*U27</f>
        <v>0.15553172262331538</v>
      </c>
      <c r="V29" s="14">
        <f>0.15*V27</f>
        <v>0.7862529258461018</v>
      </c>
      <c r="W29" s="14">
        <f>0.15*W27</f>
        <v>1.1071789544196369</v>
      </c>
    </row>
    <row r="30" spans="2:23" ht="12.75">
      <c r="B30" s="1"/>
      <c r="C30" s="1"/>
      <c r="D30" s="1"/>
      <c r="E30" s="1"/>
      <c r="H30" s="1"/>
      <c r="I30" s="1"/>
      <c r="J30" s="1"/>
      <c r="K30" s="1"/>
      <c r="N30" s="1"/>
      <c r="O30" s="1"/>
      <c r="P30" s="1"/>
      <c r="Q30" s="1"/>
      <c r="T30" s="1"/>
      <c r="U30" s="1"/>
      <c r="V30" s="1"/>
      <c r="W30" s="1"/>
    </row>
    <row r="31" spans="1:19" ht="12.75">
      <c r="A31" t="s">
        <v>22</v>
      </c>
      <c r="G31" t="s">
        <v>22</v>
      </c>
      <c r="M31" t="s">
        <v>22</v>
      </c>
      <c r="S31" t="s">
        <v>22</v>
      </c>
    </row>
    <row r="32" spans="1:23" ht="12.75">
      <c r="A32" t="s">
        <v>17</v>
      </c>
      <c r="B32">
        <f>+Tphr+Tshr_64_64+B$20</f>
        <v>9725672.610574711</v>
      </c>
      <c r="C32">
        <f>+Tphr+Tshr_64+C$20</f>
        <v>1285707.6165517243</v>
      </c>
      <c r="D32">
        <f>+Tphr+Tshr_64+D$20</f>
        <v>237674.4211494253</v>
      </c>
      <c r="E32">
        <f>+Tphr+Tshr_64+E$20</f>
        <v>162805.73149425286</v>
      </c>
      <c r="G32" t="s">
        <v>17</v>
      </c>
      <c r="H32">
        <f>+Tphr2+Tshr2_64_64+H$20</f>
        <v>7293264.413793104</v>
      </c>
      <c r="I32">
        <f>+Tphr2+Tshr2_64+I$20</f>
        <v>964280.5324137931</v>
      </c>
      <c r="J32">
        <f>+Tphr2+Tshr2_64+J$20</f>
        <v>178246.87724137935</v>
      </c>
      <c r="K32">
        <f>+Tphr2+Tshr2_64+K$20</f>
        <v>122063.24505747127</v>
      </c>
      <c r="M32" t="s">
        <v>17</v>
      </c>
      <c r="N32">
        <f>+Tphr3+Tshr3_64_64+N$20</f>
        <v>8977536.847816093</v>
      </c>
      <c r="O32">
        <f>+Tphr3+Tshr3_64_8+O$20</f>
        <v>1186813.4050574712</v>
      </c>
      <c r="P32">
        <f>+Tphr3+Tshr3_64_8+P$20</f>
        <v>219382.8763218391</v>
      </c>
      <c r="Q32">
        <f>+Tphr3+Tshr3_64_8+Q$20</f>
        <v>150283.19816091954</v>
      </c>
      <c r="S32" t="s">
        <v>17</v>
      </c>
      <c r="T32">
        <f>+Tphr4+Tshr4_64_64+T$20</f>
        <v>7291591.453793104</v>
      </c>
      <c r="U32">
        <f>+Tphr4+Tshr4_64_8+U$20</f>
        <v>963339.4924137931</v>
      </c>
      <c r="V32">
        <f>+Tphr4+Tshr4_64_8+V$20</f>
        <v>177305.8372413793</v>
      </c>
      <c r="W32">
        <f>+Tphr4+Tshr4_64_8+W$20</f>
        <v>121122.20505747126</v>
      </c>
    </row>
    <row r="33" spans="1:23" ht="12.75">
      <c r="A33" t="s">
        <v>16</v>
      </c>
      <c r="B33">
        <f>+B32+LIFS+aTurnArou</f>
        <v>9777339.29057471</v>
      </c>
      <c r="C33">
        <f>+C32+LIFS+aTurnArou</f>
        <v>1337374.2965517244</v>
      </c>
      <c r="D33">
        <f>+D32+LIFS+aTurnArou</f>
        <v>289341.1011494253</v>
      </c>
      <c r="E33">
        <f>+E32+LIFS+aTurnArou</f>
        <v>214472.41149425285</v>
      </c>
      <c r="G33" t="s">
        <v>16</v>
      </c>
      <c r="H33">
        <f>+H32+LIFS2+aTurnArou2</f>
        <v>7332014.293793104</v>
      </c>
      <c r="I33">
        <f>+I32+LIFS2+aTurnArou2</f>
        <v>1003030.4124137932</v>
      </c>
      <c r="J33">
        <f>+J32+LIFS2+aTurnArou2</f>
        <v>216996.75724137935</v>
      </c>
      <c r="K33">
        <f>+K32+LIFS+aTurnArou</f>
        <v>173729.92505747126</v>
      </c>
      <c r="M33" t="s">
        <v>16</v>
      </c>
      <c r="N33">
        <f>+N32+LIFS+aTurnArou</f>
        <v>9029203.527816093</v>
      </c>
      <c r="O33">
        <f>+O32+LIFS+aTurnArou</f>
        <v>1238480.0850574714</v>
      </c>
      <c r="P33">
        <f>+P32+LIFS+aTurnArou</f>
        <v>271049.5563218391</v>
      </c>
      <c r="Q33">
        <f>+Q32+LIFS+aTurnArou</f>
        <v>201949.87816091953</v>
      </c>
      <c r="S33" t="s">
        <v>16</v>
      </c>
      <c r="T33">
        <f>+T32+LIFS+aTurnArou</f>
        <v>7343258.1337931035</v>
      </c>
      <c r="U33">
        <f>+U32+LIFS+aTurnArou</f>
        <v>1015006.172413793</v>
      </c>
      <c r="V33">
        <f>+V32+LIFS+aTurnArou</f>
        <v>228972.5172413793</v>
      </c>
      <c r="W33">
        <f>+W32+LIFS+aTurnArou</f>
        <v>172788.88505747126</v>
      </c>
    </row>
    <row r="34" spans="1:23" ht="12.75">
      <c r="A34" t="s">
        <v>19</v>
      </c>
      <c r="B34">
        <f>+B33/10000000000</f>
        <v>0.000977733929057471</v>
      </c>
      <c r="C34">
        <f>+C33/10000000000</f>
        <v>0.00013373742965517245</v>
      </c>
      <c r="D34">
        <f>+D33/10000000000</f>
        <v>2.8934110114942532E-05</v>
      </c>
      <c r="E34">
        <f>+E33/10000000000</f>
        <v>2.1447241149425285E-05</v>
      </c>
      <c r="G34" t="s">
        <v>19</v>
      </c>
      <c r="H34">
        <f>+H33/10000000000</f>
        <v>0.0007332014293793104</v>
      </c>
      <c r="I34">
        <f>+I33/10000000000</f>
        <v>0.00010030304124137932</v>
      </c>
      <c r="J34">
        <f>+J33/10000000000</f>
        <v>2.1699675724137936E-05</v>
      </c>
      <c r="K34">
        <f>+K33/10000000000</f>
        <v>1.7372992505747126E-05</v>
      </c>
      <c r="M34" t="s">
        <v>19</v>
      </c>
      <c r="N34">
        <f>+N33/10000000000</f>
        <v>0.0009029203527816092</v>
      </c>
      <c r="O34">
        <f>+O33/10000000000</f>
        <v>0.00012384800850574713</v>
      </c>
      <c r="P34">
        <f>+P33/10000000000</f>
        <v>2.710495563218391E-05</v>
      </c>
      <c r="Q34">
        <f>+Q33/10000000000</f>
        <v>2.0194987816091952E-05</v>
      </c>
      <c r="S34" t="s">
        <v>19</v>
      </c>
      <c r="T34">
        <f>+T33/10000000000</f>
        <v>0.0007343258133793104</v>
      </c>
      <c r="U34">
        <f>+U33/10000000000</f>
        <v>0.0001015006172413793</v>
      </c>
      <c r="V34">
        <f>+V33/10000000000</f>
        <v>2.289725172413793E-05</v>
      </c>
      <c r="W34">
        <f>+W33/10000000000</f>
        <v>1.7278888505747125E-05</v>
      </c>
    </row>
    <row r="35" spans="1:23" ht="12.75">
      <c r="A35" t="s">
        <v>18</v>
      </c>
      <c r="B35">
        <f>1/B34</f>
        <v>1022.7731392772605</v>
      </c>
      <c r="C35">
        <f>1/C34</f>
        <v>7477.3382633298115</v>
      </c>
      <c r="D35">
        <f>1/D34</f>
        <v>34561.28410472755</v>
      </c>
      <c r="E35">
        <f>1/E34</f>
        <v>46626.04355650641</v>
      </c>
      <c r="G35" t="s">
        <v>18</v>
      </c>
      <c r="H35">
        <f>1/H34</f>
        <v>1363.88168370941</v>
      </c>
      <c r="I35">
        <f>1/I34</f>
        <v>9969.78743240197</v>
      </c>
      <c r="J35">
        <f>1/J34</f>
        <v>46083.637963660265</v>
      </c>
      <c r="K35">
        <f>1/K34</f>
        <v>57560.60734321919</v>
      </c>
      <c r="M35" t="s">
        <v>18</v>
      </c>
      <c r="N35">
        <f>1/N34</f>
        <v>1107.5173983168277</v>
      </c>
      <c r="O35">
        <f>1/O34</f>
        <v>8074.4132430163</v>
      </c>
      <c r="P35">
        <f>1/P34</f>
        <v>36893.622464100954</v>
      </c>
      <c r="Q35">
        <f>1/Q34</f>
        <v>49517.23710391006</v>
      </c>
      <c r="S35" t="s">
        <v>18</v>
      </c>
      <c r="T35">
        <f>1/T34</f>
        <v>1361.793337208286</v>
      </c>
      <c r="U35">
        <f>1/U34</f>
        <v>9852.156835873158</v>
      </c>
      <c r="V35">
        <f>1/V34</f>
        <v>43673.36360048029</v>
      </c>
      <c r="W35">
        <f>1/W34</f>
        <v>57874.09298158214</v>
      </c>
    </row>
    <row r="36" spans="1:23" ht="12.75">
      <c r="A36" s="12" t="s">
        <v>32</v>
      </c>
      <c r="B36" s="14">
        <f>+B35*127*8/10000000</f>
        <v>0.10391375095056968</v>
      </c>
      <c r="C36" s="14">
        <f>+C35*127*8/10000000</f>
        <v>0.7596975675543088</v>
      </c>
      <c r="D36" s="14">
        <f>+D35*127*8/10000000</f>
        <v>3.5114264650403193</v>
      </c>
      <c r="E36" s="14">
        <f>+E35*127*8/10000000</f>
        <v>4.7372060253410515</v>
      </c>
      <c r="F36" s="12"/>
      <c r="G36" s="12" t="s">
        <v>32</v>
      </c>
      <c r="H36" s="14">
        <f>+H35*127*8/10000000</f>
        <v>0.13857037906487604</v>
      </c>
      <c r="I36" s="14">
        <f>+I35*127*8/10000000</f>
        <v>1.0129304031320403</v>
      </c>
      <c r="J36" s="14">
        <f>+J35*127*8/10000000</f>
        <v>4.682097617107883</v>
      </c>
      <c r="K36" s="14">
        <f>+K35*127*8/10000000</f>
        <v>5.84815770607107</v>
      </c>
      <c r="L36" s="12"/>
      <c r="M36" s="12" t="s">
        <v>32</v>
      </c>
      <c r="N36" s="14">
        <f>+N35*127*8/10000000</f>
        <v>0.1125237676689897</v>
      </c>
      <c r="O36" s="14">
        <f>+O35*127*8/10000000</f>
        <v>0.8203603854904561</v>
      </c>
      <c r="P36" s="14">
        <f>+P35*127*8/10000000</f>
        <v>3.748392042352657</v>
      </c>
      <c r="Q36" s="14">
        <f>+Q35*127*8/10000000</f>
        <v>5.030951289757263</v>
      </c>
      <c r="R36" s="12"/>
      <c r="S36" s="12" t="s">
        <v>32</v>
      </c>
      <c r="T36" s="14">
        <f>+T35*127*8/10000000</f>
        <v>0.13835820306036187</v>
      </c>
      <c r="U36" s="14">
        <f>+U35*127*8/10000000</f>
        <v>1.000979134524713</v>
      </c>
      <c r="V36" s="14">
        <f>+V35*127*8/10000000</f>
        <v>4.437213741808797</v>
      </c>
      <c r="W36" s="14">
        <f>+W35*127*8/10000000</f>
        <v>5.880007846928745</v>
      </c>
    </row>
    <row r="37" spans="1:23" ht="12.75">
      <c r="A37" s="12" t="s">
        <v>33</v>
      </c>
      <c r="B37" s="14">
        <f>0.25*B36</f>
        <v>0.02597843773764242</v>
      </c>
      <c r="C37" s="14">
        <f>0.25*C36</f>
        <v>0.1899243918885772</v>
      </c>
      <c r="D37" s="14">
        <f>0.25*D36</f>
        <v>0.8778566162600798</v>
      </c>
      <c r="E37" s="14">
        <f>0.25*E36</f>
        <v>1.1843015063352629</v>
      </c>
      <c r="F37" s="12"/>
      <c r="G37" s="12" t="s">
        <v>33</v>
      </c>
      <c r="H37" s="14">
        <f>0.25*H36</f>
        <v>0.03464259476621901</v>
      </c>
      <c r="I37" s="14">
        <f>0.25*I36</f>
        <v>0.2532326007830101</v>
      </c>
      <c r="J37" s="14">
        <f>0.25*J36</f>
        <v>1.1705244042769707</v>
      </c>
      <c r="K37" s="14">
        <f>0.25*K36</f>
        <v>1.4620394265177674</v>
      </c>
      <c r="L37" s="12"/>
      <c r="M37" s="12" t="s">
        <v>33</v>
      </c>
      <c r="N37" s="14">
        <f>0.25*N36</f>
        <v>0.028130941917247423</v>
      </c>
      <c r="O37" s="14">
        <f>0.25*O36</f>
        <v>0.20509009637261402</v>
      </c>
      <c r="P37" s="14">
        <f>0.25*P36</f>
        <v>0.9370980105881642</v>
      </c>
      <c r="Q37" s="14">
        <f>0.25*Q36</f>
        <v>1.2577378224393156</v>
      </c>
      <c r="R37" s="12"/>
      <c r="S37" s="12" t="s">
        <v>33</v>
      </c>
      <c r="T37" s="14">
        <f>0.25*T36</f>
        <v>0.03458955076509047</v>
      </c>
      <c r="U37" s="14">
        <f>0.25*U36</f>
        <v>0.25024478363117825</v>
      </c>
      <c r="V37" s="14">
        <f>0.25*V36</f>
        <v>1.1093034354521993</v>
      </c>
      <c r="W37" s="14">
        <f>0.25*W36</f>
        <v>1.4700019617321862</v>
      </c>
    </row>
    <row r="38" spans="1:23" ht="12.75">
      <c r="A38" s="12" t="s">
        <v>34</v>
      </c>
      <c r="B38" s="14">
        <f>0.15*B36</f>
        <v>0.01558706264258545</v>
      </c>
      <c r="C38" s="14">
        <f>0.15*C36</f>
        <v>0.11395463513314633</v>
      </c>
      <c r="D38" s="14">
        <f>0.15*D36</f>
        <v>0.5267139697560479</v>
      </c>
      <c r="E38" s="14">
        <f>0.15*E36</f>
        <v>0.7105809038011577</v>
      </c>
      <c r="F38" s="12"/>
      <c r="G38" s="12" t="s">
        <v>34</v>
      </c>
      <c r="H38" s="14">
        <f>0.15*H36</f>
        <v>0.020785556859731404</v>
      </c>
      <c r="I38" s="14">
        <f>0.15*I36</f>
        <v>0.15193956046980603</v>
      </c>
      <c r="J38" s="14">
        <f>0.15*J36</f>
        <v>0.7023146425661824</v>
      </c>
      <c r="K38" s="14">
        <f>0.15*K36</f>
        <v>0.8772236559106604</v>
      </c>
      <c r="L38" s="12"/>
      <c r="M38" s="12" t="s">
        <v>34</v>
      </c>
      <c r="N38" s="14">
        <f>0.15*N36</f>
        <v>0.016878565150348454</v>
      </c>
      <c r="O38" s="14">
        <f>0.15*O36</f>
        <v>0.1230540578235684</v>
      </c>
      <c r="P38" s="14">
        <f>0.15*P36</f>
        <v>0.5622588063528985</v>
      </c>
      <c r="Q38" s="14">
        <f>0.15*Q36</f>
        <v>0.7546426934635894</v>
      </c>
      <c r="R38" s="12"/>
      <c r="S38" s="12" t="s">
        <v>34</v>
      </c>
      <c r="T38" s="14">
        <f>0.15*T36</f>
        <v>0.02075373045905428</v>
      </c>
      <c r="U38" s="14">
        <f>0.15*U36</f>
        <v>0.15014687017870695</v>
      </c>
      <c r="V38" s="14">
        <f>0.15*V36</f>
        <v>0.6655820612713196</v>
      </c>
      <c r="W38" s="14">
        <f>0.15*W36</f>
        <v>0.8820011770393117</v>
      </c>
    </row>
    <row r="39" spans="2:23" ht="12.75">
      <c r="B39" s="1"/>
      <c r="C39" s="1"/>
      <c r="D39" s="1"/>
      <c r="E39" s="1"/>
      <c r="H39" s="1"/>
      <c r="I39" s="1"/>
      <c r="J39" s="1"/>
      <c r="K39" s="1"/>
      <c r="N39" s="1"/>
      <c r="O39" s="1"/>
      <c r="P39" s="1"/>
      <c r="Q39" s="1"/>
      <c r="T39" s="1"/>
      <c r="U39" s="1"/>
      <c r="V39" s="1"/>
      <c r="W39" s="1"/>
    </row>
    <row r="40" spans="1:19" ht="12.75">
      <c r="A40" t="s">
        <v>23</v>
      </c>
      <c r="G40" t="s">
        <v>23</v>
      </c>
      <c r="M40" t="s">
        <v>23</v>
      </c>
      <c r="S40" t="s">
        <v>23</v>
      </c>
    </row>
    <row r="41" spans="1:23" ht="12.75">
      <c r="A41" t="s">
        <v>17</v>
      </c>
      <c r="B41">
        <f>+Tphr+Tshr_1K_64+B$20</f>
        <v>10679519.010574711</v>
      </c>
      <c r="C41">
        <f>+Tphr+Tshr_1K+C$20</f>
        <v>2239554.016551724</v>
      </c>
      <c r="D41">
        <f>+Tphr+Tshr_1K+D$20</f>
        <v>1191520.8211494253</v>
      </c>
      <c r="E41">
        <f>+Tphr+Tshr_1K+E$20</f>
        <v>1116652.131494253</v>
      </c>
      <c r="G41" t="s">
        <v>17</v>
      </c>
      <c r="H41">
        <f>+Tphr2+Tshr2_1K_64+H$20</f>
        <v>8008646.813793104</v>
      </c>
      <c r="I41">
        <f>+Tphr2+Tshr2_1K+I$20</f>
        <v>1679662.9324137932</v>
      </c>
      <c r="J41">
        <f>+Tphr2+Tshr2_1K+J$20</f>
        <v>893629.2772413795</v>
      </c>
      <c r="K41">
        <f>+Tphr2+Tshr2_1K+K$20</f>
        <v>837445.6450574714</v>
      </c>
      <c r="M41" t="s">
        <v>17</v>
      </c>
      <c r="N41">
        <f>+Tphr3+Tshr3_1K_64+N$20</f>
        <v>9975406.927816093</v>
      </c>
      <c r="O41">
        <f>+Tphr3+Tshr3_1K_8+O$20</f>
        <v>2067287.0050574713</v>
      </c>
      <c r="P41">
        <f>+Tphr3+Tshr3_1K_8+P$20</f>
        <v>1099856.476321839</v>
      </c>
      <c r="Q41">
        <f>+Tphr3+Tshr3_1K_8+Q$20</f>
        <v>1030756.7981609196</v>
      </c>
      <c r="S41" t="s">
        <v>17</v>
      </c>
      <c r="T41">
        <f>+Tphr4+Tshr4_1K_64+T$20</f>
        <v>7994426.653793104</v>
      </c>
      <c r="U41">
        <f>+Tphr4+Tshr4_1K_8+U$20</f>
        <v>1666174.6924137932</v>
      </c>
      <c r="V41">
        <f>+Tphr4+Tshr4_1K_8+V$20</f>
        <v>880141.0372413794</v>
      </c>
      <c r="W41">
        <f>+Tphr4+Tshr4_1K_8+W$20</f>
        <v>823957.4050574712</v>
      </c>
    </row>
    <row r="42" spans="1:23" ht="12.75">
      <c r="A42" t="s">
        <v>16</v>
      </c>
      <c r="B42">
        <f>+B41+LIFS+aTurnArou</f>
        <v>10731185.690574711</v>
      </c>
      <c r="C42">
        <f>+C41+LIFS+aTurnArou</f>
        <v>2291220.6965517243</v>
      </c>
      <c r="D42">
        <f>+D41+LIFS+aTurnArou</f>
        <v>1243187.5011494255</v>
      </c>
      <c r="E42">
        <f>+E41+LIFS+aTurnArou</f>
        <v>1168318.811494253</v>
      </c>
      <c r="G42" t="s">
        <v>16</v>
      </c>
      <c r="H42">
        <f>+H41+LIFS+aTurnArou</f>
        <v>8060313.493793104</v>
      </c>
      <c r="I42">
        <f>+I41+LIFS+aTurnArou</f>
        <v>1731329.6124137933</v>
      </c>
      <c r="J42">
        <f>+J41+LIFS+aTurnArou</f>
        <v>945295.9572413794</v>
      </c>
      <c r="K42">
        <f>+K41+LIFS+aTurnArou</f>
        <v>889112.3250574713</v>
      </c>
      <c r="M42" t="s">
        <v>16</v>
      </c>
      <c r="N42">
        <f>+N41+LIFS+aTurnArou</f>
        <v>10027073.607816093</v>
      </c>
      <c r="O42">
        <f>+O41+LIFS+aTurnArou</f>
        <v>2118953.6850574715</v>
      </c>
      <c r="P42">
        <f>+P41+LIFS+aTurnArou</f>
        <v>1151523.1563218392</v>
      </c>
      <c r="Q42">
        <f>+Q41+LIFS+aTurnArou</f>
        <v>1082423.4781609196</v>
      </c>
      <c r="S42" t="s">
        <v>16</v>
      </c>
      <c r="T42">
        <f>+T41+LIFS+aTurnArou</f>
        <v>8046093.333793104</v>
      </c>
      <c r="U42">
        <f>+U41+LIFS+aTurnArou</f>
        <v>1717841.3724137933</v>
      </c>
      <c r="V42">
        <f>+V41+LIFS+aTurnArou</f>
        <v>931807.7172413793</v>
      </c>
      <c r="W42">
        <f>+W41+LIFS+aTurnArou</f>
        <v>875624.0850574712</v>
      </c>
    </row>
    <row r="43" spans="1:23" ht="12.75">
      <c r="A43" t="s">
        <v>19</v>
      </c>
      <c r="B43">
        <f>+B42/10000000000</f>
        <v>0.0010731185690574711</v>
      </c>
      <c r="C43">
        <f>+C42/10000000000</f>
        <v>0.00022912206965517242</v>
      </c>
      <c r="D43">
        <f>+D42/10000000000</f>
        <v>0.00012431875011494254</v>
      </c>
      <c r="E43">
        <f>+E42/10000000000</f>
        <v>0.00011683188114942531</v>
      </c>
      <c r="G43" t="s">
        <v>19</v>
      </c>
      <c r="H43">
        <f>+H42/10000000000</f>
        <v>0.0008060313493793103</v>
      </c>
      <c r="I43">
        <f>+I42/10000000000</f>
        <v>0.00017313296124137932</v>
      </c>
      <c r="J43">
        <f>+J42/10000000000</f>
        <v>9.452959572413794E-05</v>
      </c>
      <c r="K43">
        <f>+K42/10000000000</f>
        <v>8.891123250574713E-05</v>
      </c>
      <c r="M43" t="s">
        <v>19</v>
      </c>
      <c r="N43">
        <f>+N42/10000000000</f>
        <v>0.0010027073607816093</v>
      </c>
      <c r="O43">
        <f>+O42/10000000000</f>
        <v>0.00021189536850574716</v>
      </c>
      <c r="P43">
        <f>+P42/10000000000</f>
        <v>0.00011515231563218392</v>
      </c>
      <c r="Q43">
        <f>+Q42/10000000000</f>
        <v>0.00010824234781609197</v>
      </c>
      <c r="S43" t="s">
        <v>19</v>
      </c>
      <c r="T43">
        <f>+T42/10000000000</f>
        <v>0.0008046093333793103</v>
      </c>
      <c r="U43">
        <f>+U42/10000000000</f>
        <v>0.00017178413724137933</v>
      </c>
      <c r="V43">
        <f>+V42/10000000000</f>
        <v>9.318077172413793E-05</v>
      </c>
      <c r="W43">
        <f>+W42/10000000000</f>
        <v>8.756240850574712E-05</v>
      </c>
    </row>
    <row r="44" spans="1:23" ht="12.75">
      <c r="A44" t="s">
        <v>18</v>
      </c>
      <c r="B44">
        <f>1/B43</f>
        <v>931.863476072647</v>
      </c>
      <c r="C44">
        <f>1/C43</f>
        <v>4364.48571499461</v>
      </c>
      <c r="D44">
        <f>1/D43</f>
        <v>8043.838914688417</v>
      </c>
      <c r="E44">
        <f>1/E43</f>
        <v>8559.307529432166</v>
      </c>
      <c r="G44" t="s">
        <v>18</v>
      </c>
      <c r="H44">
        <f>1/H43</f>
        <v>1240.64653412061</v>
      </c>
      <c r="I44">
        <f>1/I43</f>
        <v>5775.907677139625</v>
      </c>
      <c r="J44">
        <f>1/J43</f>
        <v>10578.69752154935</v>
      </c>
      <c r="K44">
        <f>1/K43</f>
        <v>11247.172846640733</v>
      </c>
      <c r="M44" t="s">
        <v>18</v>
      </c>
      <c r="N44">
        <f>1/N43</f>
        <v>997.2999492299539</v>
      </c>
      <c r="O44">
        <f>1/O43</f>
        <v>4719.310323070498</v>
      </c>
      <c r="P44">
        <f>1/P43</f>
        <v>8684.150158075588</v>
      </c>
      <c r="Q44">
        <f>1/Q43</f>
        <v>9238.528359520062</v>
      </c>
      <c r="S44" t="s">
        <v>18</v>
      </c>
      <c r="T44">
        <f>1/T43</f>
        <v>1242.8391748826236</v>
      </c>
      <c r="U44">
        <f>1/U43</f>
        <v>5821.259262110263</v>
      </c>
      <c r="V44">
        <f>1/V43</f>
        <v>10731.827838478353</v>
      </c>
      <c r="W44">
        <f>1/W43</f>
        <v>11420.42592323583</v>
      </c>
    </row>
    <row r="45" spans="1:23" ht="12.75">
      <c r="A45" s="12" t="s">
        <v>32</v>
      </c>
      <c r="B45" s="14">
        <f>+B44*127*8/10000000</f>
        <v>0.09467732916898094</v>
      </c>
      <c r="C45" s="14">
        <f>+C44*127*8/10000000</f>
        <v>0.4434317486434524</v>
      </c>
      <c r="D45" s="14">
        <f>+D44*127*8/10000000</f>
        <v>0.8172540337323432</v>
      </c>
      <c r="E45" s="14">
        <f>+E44*127*8/10000000</f>
        <v>0.869625644990308</v>
      </c>
      <c r="F45" s="12"/>
      <c r="G45" s="12" t="s">
        <v>32</v>
      </c>
      <c r="H45" s="14">
        <f>+H44*127*8/10000000</f>
        <v>0.126049687866654</v>
      </c>
      <c r="I45" s="14">
        <f>+I44*127*8/10000000</f>
        <v>0.5868322199973859</v>
      </c>
      <c r="J45" s="14">
        <f>+J44*127*8/10000000</f>
        <v>1.0747956681894137</v>
      </c>
      <c r="K45" s="14">
        <f>+K44*127*8/10000000</f>
        <v>1.1427127612186985</v>
      </c>
      <c r="L45" s="12"/>
      <c r="M45" s="12" t="s">
        <v>32</v>
      </c>
      <c r="N45" s="14">
        <f>+N44*127*8/10000000</f>
        <v>0.10132567484176332</v>
      </c>
      <c r="O45" s="14">
        <f>+O44*127*8/10000000</f>
        <v>0.4794819288239626</v>
      </c>
      <c r="P45" s="14">
        <f>+P44*127*8/10000000</f>
        <v>0.8823096560604797</v>
      </c>
      <c r="Q45" s="14">
        <f>+Q44*127*8/10000000</f>
        <v>0.9386344813272383</v>
      </c>
      <c r="R45" s="12"/>
      <c r="S45" s="12" t="s">
        <v>32</v>
      </c>
      <c r="T45" s="14">
        <f>+T44*127*8/10000000</f>
        <v>0.12627246016807456</v>
      </c>
      <c r="U45" s="14">
        <f>+U44*127*8/10000000</f>
        <v>0.5914399410304028</v>
      </c>
      <c r="V45" s="14">
        <f>+V44*127*8/10000000</f>
        <v>1.0903537083894006</v>
      </c>
      <c r="W45" s="14">
        <f>+W44*127*8/10000000</f>
        <v>1.1603152738007605</v>
      </c>
    </row>
    <row r="46" spans="1:23" ht="12.75">
      <c r="A46" s="12" t="s">
        <v>33</v>
      </c>
      <c r="B46" s="14">
        <f>0.25*B45</f>
        <v>0.023669332292245236</v>
      </c>
      <c r="C46" s="14">
        <f>0.25*C45</f>
        <v>0.1108579371608631</v>
      </c>
      <c r="D46" s="14">
        <f>0.25*D45</f>
        <v>0.2043135084330858</v>
      </c>
      <c r="E46" s="14">
        <f>0.25*E45</f>
        <v>0.217406411247577</v>
      </c>
      <c r="F46" s="12"/>
      <c r="G46" s="12" t="s">
        <v>33</v>
      </c>
      <c r="H46" s="14">
        <f>0.25*H45</f>
        <v>0.0315124219666635</v>
      </c>
      <c r="I46" s="14">
        <f>0.25*I45</f>
        <v>0.14670805499934647</v>
      </c>
      <c r="J46" s="14">
        <f>0.25*J45</f>
        <v>0.26869891704735344</v>
      </c>
      <c r="K46" s="14">
        <f>0.25*K45</f>
        <v>0.2856781903046746</v>
      </c>
      <c r="L46" s="12"/>
      <c r="M46" s="12" t="s">
        <v>33</v>
      </c>
      <c r="N46" s="14">
        <f>0.25*N45</f>
        <v>0.02533141871044083</v>
      </c>
      <c r="O46" s="14">
        <f>0.25*O45</f>
        <v>0.11987048220599066</v>
      </c>
      <c r="P46" s="14">
        <f>0.25*P45</f>
        <v>0.22057741401511993</v>
      </c>
      <c r="Q46" s="14">
        <f>0.25*Q45</f>
        <v>0.23465862033180956</v>
      </c>
      <c r="R46" s="12"/>
      <c r="S46" s="12" t="s">
        <v>33</v>
      </c>
      <c r="T46" s="14">
        <f>0.25*T45</f>
        <v>0.03156811504201864</v>
      </c>
      <c r="U46" s="14">
        <f>0.25*U45</f>
        <v>0.1478599852576007</v>
      </c>
      <c r="V46" s="14">
        <f>0.25*V45</f>
        <v>0.27258842709735015</v>
      </c>
      <c r="W46" s="14">
        <f>0.25*W45</f>
        <v>0.2900788184501901</v>
      </c>
    </row>
    <row r="47" spans="1:23" ht="12.75">
      <c r="A47" s="12" t="s">
        <v>34</v>
      </c>
      <c r="B47" s="14">
        <f>0.15*B45</f>
        <v>0.014201599375347141</v>
      </c>
      <c r="C47" s="14">
        <f>0.15*C45</f>
        <v>0.06651476229651786</v>
      </c>
      <c r="D47" s="14">
        <f>0.15*D45</f>
        <v>0.12258810505985147</v>
      </c>
      <c r="E47" s="14">
        <f>0.15*E45</f>
        <v>0.1304438467485462</v>
      </c>
      <c r="F47" s="12"/>
      <c r="G47" s="12" t="s">
        <v>34</v>
      </c>
      <c r="H47" s="14">
        <f>0.15*H45</f>
        <v>0.018907453179998097</v>
      </c>
      <c r="I47" s="14">
        <f>0.15*I45</f>
        <v>0.08802483299960788</v>
      </c>
      <c r="J47" s="14">
        <f>0.15*J45</f>
        <v>0.16121935022841205</v>
      </c>
      <c r="K47" s="14">
        <f>0.15*K45</f>
        <v>0.17140691418280476</v>
      </c>
      <c r="L47" s="12"/>
      <c r="M47" s="12" t="s">
        <v>34</v>
      </c>
      <c r="N47" s="14">
        <f>0.15*N45</f>
        <v>0.015198851226264496</v>
      </c>
      <c r="O47" s="14">
        <f>0.15*O45</f>
        <v>0.07192228932359439</v>
      </c>
      <c r="P47" s="14">
        <f>0.15*P45</f>
        <v>0.13234644840907195</v>
      </c>
      <c r="Q47" s="14">
        <f>0.15*Q45</f>
        <v>0.14079517219908574</v>
      </c>
      <c r="R47" s="12"/>
      <c r="S47" s="12" t="s">
        <v>34</v>
      </c>
      <c r="T47" s="14">
        <f>0.15*T45</f>
        <v>0.018940869025211183</v>
      </c>
      <c r="U47" s="14">
        <f>0.15*U45</f>
        <v>0.08871599115456041</v>
      </c>
      <c r="V47" s="14">
        <f>0.15*V45</f>
        <v>0.16355305625841007</v>
      </c>
      <c r="W47" s="14">
        <f>0.15*W45</f>
        <v>0.17404729107011407</v>
      </c>
    </row>
    <row r="48" spans="2:23" ht="12.75">
      <c r="B48" s="1"/>
      <c r="C48" s="1"/>
      <c r="D48" s="1"/>
      <c r="E48" s="1"/>
      <c r="H48" s="1"/>
      <c r="I48" s="1"/>
      <c r="J48" s="1"/>
      <c r="K48" s="1"/>
      <c r="N48" s="1"/>
      <c r="O48" s="1"/>
      <c r="P48" s="1"/>
      <c r="Q48" s="1"/>
      <c r="T48" s="1"/>
      <c r="U48" s="1"/>
      <c r="V48" s="1"/>
      <c r="W48" s="1"/>
    </row>
    <row r="49" spans="1:19" ht="12.75">
      <c r="A49" t="s">
        <v>24</v>
      </c>
      <c r="G49" t="s">
        <v>24</v>
      </c>
      <c r="M49" t="s">
        <v>24</v>
      </c>
      <c r="S49" t="s">
        <v>24</v>
      </c>
    </row>
    <row r="50" spans="1:23" ht="12.75">
      <c r="A50" t="s">
        <v>17</v>
      </c>
      <c r="B50">
        <f>+Tphr+Tshr_4K_64+B$20</f>
        <v>13731827.490574712</v>
      </c>
      <c r="C50">
        <f>+Tphr+Tshr_4k+C$20</f>
        <v>5291862.496551725</v>
      </c>
      <c r="D50">
        <f>+Tphr+Tshr_4k+D$20</f>
        <v>4243829.301149426</v>
      </c>
      <c r="E50">
        <f>+Tphr+Tshr_4k+E$20</f>
        <v>4168960.6114942534</v>
      </c>
      <c r="G50" t="s">
        <v>17</v>
      </c>
      <c r="H50">
        <f>+Tphr2+Tshr2_4k_64+H$20</f>
        <v>10297870.493793104</v>
      </c>
      <c r="I50">
        <f>+Tphr2+Tshr2_4K+I$20</f>
        <v>3968886.612413794</v>
      </c>
      <c r="J50">
        <f>+Tphr2+Tshr2_4K+J$20</f>
        <v>3182852.9572413797</v>
      </c>
      <c r="K50">
        <f>+Tphr2+Tshr2_4K+K$20</f>
        <v>3126669.3250574716</v>
      </c>
      <c r="M50" t="s">
        <v>17</v>
      </c>
      <c r="N50">
        <f>+Tphr3+Tshr3_4K_64+N$20</f>
        <v>12675525.967816092</v>
      </c>
      <c r="O50">
        <f>+Tphr3+Tshr3_4K_8+O$20</f>
        <v>4884802.52505747</v>
      </c>
      <c r="P50">
        <f>+Tphr3+Tshr3_4K_8+P$20</f>
        <v>3917371.996321839</v>
      </c>
      <c r="Q50">
        <f>+Tphr3+Tshr3_4K_8+Q$20</f>
        <v>3848272.318160919</v>
      </c>
      <c r="S50" t="s">
        <v>17</v>
      </c>
      <c r="T50">
        <f>+Tphr4+Tshr4_4K_64+T$20</f>
        <v>10243499.293793105</v>
      </c>
      <c r="U50">
        <f>+Tphr4+Tshr4_4K_8+U$20</f>
        <v>3915247.3324137935</v>
      </c>
      <c r="V50">
        <f>+Tphr4+Tshr4_4K_8+V$20</f>
        <v>3129213.6772413794</v>
      </c>
      <c r="W50">
        <f>+Tphr4+Tshr4_4K_8+W$20</f>
        <v>3073030.0450574714</v>
      </c>
    </row>
    <row r="51" spans="1:23" ht="12.75">
      <c r="A51" t="s">
        <v>16</v>
      </c>
      <c r="B51">
        <f>+B50+LIFS+aTurnArou</f>
        <v>13783494.170574712</v>
      </c>
      <c r="C51">
        <f>+C50+LIFS+aTurnArou</f>
        <v>5343529.176551725</v>
      </c>
      <c r="D51">
        <f>+D50+LIFS+aTurnArou</f>
        <v>4295495.981149426</v>
      </c>
      <c r="E51">
        <f>+E50+LIFS+aTurnArou</f>
        <v>4220627.291494253</v>
      </c>
      <c r="G51" t="s">
        <v>16</v>
      </c>
      <c r="H51">
        <f>+H50+LIFS+aTurnArou</f>
        <v>10349537.173793104</v>
      </c>
      <c r="I51">
        <f>+I50+LIFS+aTurnArou</f>
        <v>4020553.292413794</v>
      </c>
      <c r="J51">
        <f>+J50+LIFS+aTurnArou</f>
        <v>3234519.63724138</v>
      </c>
      <c r="K51">
        <f>+K50+LIFS+aTurnArou</f>
        <v>3178336.005057472</v>
      </c>
      <c r="M51" t="s">
        <v>16</v>
      </c>
      <c r="N51">
        <f>+N50+LIFS+aTurnArou</f>
        <v>12727192.647816092</v>
      </c>
      <c r="O51">
        <f>+O50+LIFS+aTurnArou</f>
        <v>4936469.20505747</v>
      </c>
      <c r="P51">
        <f>+P50+LIFS+aTurnArou</f>
        <v>3969038.676321839</v>
      </c>
      <c r="Q51">
        <f>+Q50+LIFS+aTurnArou</f>
        <v>3899938.998160919</v>
      </c>
      <c r="S51" t="s">
        <v>16</v>
      </c>
      <c r="T51">
        <f>+T50+LIFS+aTurnArou</f>
        <v>10295165.973793104</v>
      </c>
      <c r="U51">
        <f>+U50+LIFS+aTurnArou</f>
        <v>3966914.0124137937</v>
      </c>
      <c r="V51">
        <f>+V50+LIFS+aTurnArou</f>
        <v>3180880.3572413796</v>
      </c>
      <c r="W51">
        <f>+W50+LIFS+aTurnArou</f>
        <v>3124696.7250574715</v>
      </c>
    </row>
    <row r="52" spans="1:23" ht="12.75">
      <c r="A52" t="s">
        <v>19</v>
      </c>
      <c r="B52">
        <f>+B51/10000000000</f>
        <v>0.001378349417057471</v>
      </c>
      <c r="C52">
        <f>+C51/10000000000</f>
        <v>0.0005343529176551724</v>
      </c>
      <c r="D52">
        <f>+D51/10000000000</f>
        <v>0.00042954959811494255</v>
      </c>
      <c r="E52">
        <f>+E51/10000000000</f>
        <v>0.0004220627291494253</v>
      </c>
      <c r="G52" t="s">
        <v>19</v>
      </c>
      <c r="H52">
        <f>+H51/10000000000</f>
        <v>0.0010349537173793104</v>
      </c>
      <c r="I52">
        <f>+I51/10000000000</f>
        <v>0.0004020553292413794</v>
      </c>
      <c r="J52">
        <f>+J51/10000000000</f>
        <v>0.00032345196372413797</v>
      </c>
      <c r="K52">
        <f>+K51/10000000000</f>
        <v>0.0003178336005057472</v>
      </c>
      <c r="M52" t="s">
        <v>19</v>
      </c>
      <c r="N52">
        <f>+N51/10000000000</f>
        <v>0.0012727192647816092</v>
      </c>
      <c r="O52">
        <f>+O51/10000000000</f>
        <v>0.000493646920505747</v>
      </c>
      <c r="P52">
        <f>+P51/10000000000</f>
        <v>0.0003969038676321839</v>
      </c>
      <c r="Q52">
        <f>+Q51/10000000000</f>
        <v>0.0003899938998160919</v>
      </c>
      <c r="S52" t="s">
        <v>19</v>
      </c>
      <c r="T52">
        <f>+T51/10000000000</f>
        <v>0.0010295165973793104</v>
      </c>
      <c r="U52">
        <f>+U51/10000000000</f>
        <v>0.0003966914012413794</v>
      </c>
      <c r="V52">
        <f>+V51/10000000000</f>
        <v>0.00031808803572413796</v>
      </c>
      <c r="W52">
        <f>+W51/10000000000</f>
        <v>0.00031246967250574717</v>
      </c>
    </row>
    <row r="53" spans="1:23" ht="12.75">
      <c r="A53" t="s">
        <v>18</v>
      </c>
      <c r="B53">
        <f>1/B52</f>
        <v>725.505439785233</v>
      </c>
      <c r="C53">
        <f>1/C52</f>
        <v>1871.4223633103059</v>
      </c>
      <c r="D53">
        <f>1/D52</f>
        <v>2328.019871019438</v>
      </c>
      <c r="E53">
        <f>1/E52</f>
        <v>2369.316054073953</v>
      </c>
      <c r="G53" t="s">
        <v>18</v>
      </c>
      <c r="H53">
        <f>1/H52</f>
        <v>966.2267821330025</v>
      </c>
      <c r="I53">
        <f>1/I52</f>
        <v>2487.2198607262744</v>
      </c>
      <c r="J53">
        <f>1/J52</f>
        <v>3091.6491848937067</v>
      </c>
      <c r="K53">
        <f>1/K52</f>
        <v>3146.3004490675858</v>
      </c>
      <c r="M53" t="s">
        <v>18</v>
      </c>
      <c r="N53">
        <f>1/N52</f>
        <v>785.7192294261325</v>
      </c>
      <c r="O53">
        <f>1/O52</f>
        <v>2025.7393664595102</v>
      </c>
      <c r="P53">
        <f>1/P52</f>
        <v>2519.5017775102997</v>
      </c>
      <c r="Q53">
        <f>1/Q52</f>
        <v>2564.1426711329755</v>
      </c>
      <c r="S53" t="s">
        <v>18</v>
      </c>
      <c r="T53">
        <f>1/T52</f>
        <v>971.3296536894632</v>
      </c>
      <c r="U53">
        <f>1/U52</f>
        <v>2520.8512129848727</v>
      </c>
      <c r="V53">
        <f>1/V52</f>
        <v>3143.7837569824555</v>
      </c>
      <c r="W53">
        <f>1/W52</f>
        <v>3200.3105836826685</v>
      </c>
    </row>
    <row r="54" spans="1:23" ht="12.75">
      <c r="A54" s="12" t="s">
        <v>32</v>
      </c>
      <c r="B54" s="14">
        <f>+B53*127*8/10000000</f>
        <v>0.07371135268217967</v>
      </c>
      <c r="C54" s="14">
        <f>+C53*127*8/10000000</f>
        <v>0.19013651211232707</v>
      </c>
      <c r="D54" s="14">
        <f>+D53*127*8/10000000</f>
        <v>0.23652681889557495</v>
      </c>
      <c r="E54" s="14">
        <f>+E53*127*8/10000000</f>
        <v>0.24072251109391363</v>
      </c>
      <c r="F54" s="12"/>
      <c r="G54" s="12" t="s">
        <v>32</v>
      </c>
      <c r="H54" s="14">
        <f>+H53*127*8/10000000</f>
        <v>0.09816864106471306</v>
      </c>
      <c r="I54" s="14">
        <f>+I53*127*8/10000000</f>
        <v>0.2527015378497895</v>
      </c>
      <c r="J54" s="14">
        <f>+J53*127*8/10000000</f>
        <v>0.3141115571852006</v>
      </c>
      <c r="K54" s="14">
        <f>+K53*127*8/10000000</f>
        <v>0.3196641256252667</v>
      </c>
      <c r="L54" s="12"/>
      <c r="M54" s="12" t="s">
        <v>32</v>
      </c>
      <c r="N54" s="14">
        <f>+N53*127*8/10000000</f>
        <v>0.07982907370969507</v>
      </c>
      <c r="O54" s="14">
        <f>+O53*127*8/10000000</f>
        <v>0.20581511963228624</v>
      </c>
      <c r="P54" s="14">
        <f>+P53*127*8/10000000</f>
        <v>0.2559813805950465</v>
      </c>
      <c r="Q54" s="14">
        <f>+Q53*127*8/10000000</f>
        <v>0.2605168953871103</v>
      </c>
      <c r="R54" s="12"/>
      <c r="S54" s="12" t="s">
        <v>32</v>
      </c>
      <c r="T54" s="14">
        <f>+T53*127*8/10000000</f>
        <v>0.09868709281484946</v>
      </c>
      <c r="U54" s="14">
        <f>+U53*127*8/10000000</f>
        <v>0.25611848323926306</v>
      </c>
      <c r="V54" s="14">
        <f>+V53*127*8/10000000</f>
        <v>0.31940842970941746</v>
      </c>
      <c r="W54" s="14">
        <f>+W53*127*8/10000000</f>
        <v>0.3251515553021591</v>
      </c>
    </row>
    <row r="55" spans="1:23" ht="12.75">
      <c r="A55" s="12" t="s">
        <v>33</v>
      </c>
      <c r="B55" s="14">
        <f>0.25*B54</f>
        <v>0.018427838170544917</v>
      </c>
      <c r="C55" s="14">
        <f>0.25*C54</f>
        <v>0.04753412802808177</v>
      </c>
      <c r="D55" s="14">
        <f>0.25*D54</f>
        <v>0.05913170472389374</v>
      </c>
      <c r="E55" s="14">
        <f>0.25*E54</f>
        <v>0.06018062777347841</v>
      </c>
      <c r="F55" s="12"/>
      <c r="G55" s="12" t="s">
        <v>33</v>
      </c>
      <c r="H55" s="14">
        <f>0.25*H54</f>
        <v>0.024542160266178264</v>
      </c>
      <c r="I55" s="14">
        <f>0.25*I54</f>
        <v>0.06317538446244737</v>
      </c>
      <c r="J55" s="14">
        <f>0.25*J54</f>
        <v>0.07852788929630015</v>
      </c>
      <c r="K55" s="14">
        <f>0.25*K54</f>
        <v>0.07991603140631667</v>
      </c>
      <c r="L55" s="12"/>
      <c r="M55" s="12" t="s">
        <v>33</v>
      </c>
      <c r="N55" s="14">
        <f>0.25*N54</f>
        <v>0.019957268427423767</v>
      </c>
      <c r="O55" s="14">
        <f>0.25*O54</f>
        <v>0.05145377990807156</v>
      </c>
      <c r="P55" s="14">
        <f>0.25*P54</f>
        <v>0.06399534514876162</v>
      </c>
      <c r="Q55" s="14">
        <f>0.25*Q54</f>
        <v>0.06512922384677758</v>
      </c>
      <c r="R55" s="12"/>
      <c r="S55" s="12" t="s">
        <v>33</v>
      </c>
      <c r="T55" s="14">
        <f>0.25*T54</f>
        <v>0.024671773203712364</v>
      </c>
      <c r="U55" s="14">
        <f>0.25*U54</f>
        <v>0.06402962080981577</v>
      </c>
      <c r="V55" s="14">
        <f>0.25*V54</f>
        <v>0.07985210742735437</v>
      </c>
      <c r="W55" s="14">
        <f>0.25*W54</f>
        <v>0.08128788882553978</v>
      </c>
    </row>
    <row r="56" spans="1:23" ht="12.75">
      <c r="A56" s="12" t="s">
        <v>34</v>
      </c>
      <c r="B56" s="14">
        <f>0.15*B54</f>
        <v>0.011056702902326949</v>
      </c>
      <c r="C56" s="14">
        <f>0.15*C54</f>
        <v>0.02852047681684906</v>
      </c>
      <c r="D56" s="14">
        <f>0.15*D54</f>
        <v>0.03547902283433624</v>
      </c>
      <c r="E56" s="14">
        <f>0.15*E54</f>
        <v>0.03610837666408704</v>
      </c>
      <c r="F56" s="12"/>
      <c r="G56" s="12" t="s">
        <v>34</v>
      </c>
      <c r="H56" s="14">
        <f>0.15*H54</f>
        <v>0.014725296159706958</v>
      </c>
      <c r="I56" s="14">
        <f>0.15*I54</f>
        <v>0.03790523067746842</v>
      </c>
      <c r="J56" s="14">
        <f>0.15*J54</f>
        <v>0.04711673357778009</v>
      </c>
      <c r="K56" s="14">
        <f>0.15*K54</f>
        <v>0.04794961884379</v>
      </c>
      <c r="L56" s="12"/>
      <c r="M56" s="12" t="s">
        <v>34</v>
      </c>
      <c r="N56" s="14">
        <f>0.15*N54</f>
        <v>0.011974361056454259</v>
      </c>
      <c r="O56" s="14">
        <f>0.15*O54</f>
        <v>0.030872267944842935</v>
      </c>
      <c r="P56" s="14">
        <f>0.15*P54</f>
        <v>0.03839720708925697</v>
      </c>
      <c r="Q56" s="14">
        <f>0.15*Q54</f>
        <v>0.03907753430806655</v>
      </c>
      <c r="R56" s="12"/>
      <c r="S56" s="12" t="s">
        <v>34</v>
      </c>
      <c r="T56" s="14">
        <f>0.15*T54</f>
        <v>0.014803063922227418</v>
      </c>
      <c r="U56" s="14">
        <f>0.15*U54</f>
        <v>0.038417772485889456</v>
      </c>
      <c r="V56" s="14">
        <f>0.15*V54</f>
        <v>0.04791126445641262</v>
      </c>
      <c r="W56" s="14">
        <f>0.15*W54</f>
        <v>0.04877273329532387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Blind Creek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A. Rolfe</dc:creator>
  <cp:keywords/>
  <dc:description/>
  <cp:lastModifiedBy>Benjamin A. Rolfe</cp:lastModifiedBy>
  <dcterms:created xsi:type="dcterms:W3CDTF">2006-07-19T22:01:11Z</dcterms:created>
  <dcterms:modified xsi:type="dcterms:W3CDTF">2006-08-06T19:35:53Z</dcterms:modified>
  <cp:category/>
  <cp:version/>
  <cp:contentType/>
  <cp:contentStatus/>
</cp:coreProperties>
</file>