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activeTab="0"/>
  </bookViews>
  <sheets>
    <sheet name="CoverPage" sheetId="1" r:id="rId1"/>
    <sheet name="Table 39a" sheetId="2" r:id="rId2"/>
    <sheet name="Table 39b" sheetId="3" r:id="rId3"/>
    <sheet name="Table 39c" sheetId="4" r:id="rId4"/>
  </sheets>
  <definedNames/>
  <calcPr fullCalcOnLoad="1"/>
</workbook>
</file>

<file path=xl/sharedStrings.xml><?xml version="1.0" encoding="utf-8"?>
<sst xmlns="http://schemas.openxmlformats.org/spreadsheetml/2006/main" count="117" uniqueCount="90">
  <si>
    <t>Channel</t>
  </si>
  <si>
    <t>Preamble</t>
  </si>
  <si>
    <t>Modulation &amp; Coding</t>
  </si>
  <si>
    <t>Data Symbol Structure</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</si>
  <si>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</si>
  <si>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</si>
  <si>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</si>
  <si>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</si>
  <si>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</si>
  <si>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</si>
  <si>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</si>
  <si>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</si>
  <si>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</si>
  <si>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</si>
  <si>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</si>
  <si>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</si>
  <si>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Summarize band plan &amp; timing parameters for different data rates and different PRFs</t>
  </si>
  <si>
    <t>Channel Number</t>
  </si>
  <si>
    <t>Value</t>
  </si>
  <si>
    <t>Data</t>
  </si>
  <si>
    <t>Preamble Code Length</t>
  </si>
  <si>
    <t>Viterbi Rate</t>
  </si>
  <si>
    <t>RS   Rate</t>
  </si>
  <si>
    <t>Overall FEC Rate</t>
  </si>
  <si>
    <t># Chips Per Burst</t>
  </si>
  <si>
    <t>#Chips Per Symbol</t>
  </si>
  <si>
    <t>Symbol Rate (MHz)</t>
  </si>
  <si>
    <t>Bit Rate Mbps</t>
  </si>
  <si>
    <t>Peak PRF (MHz)</t>
  </si>
  <si>
    <t>Mean PRF (MHz)</t>
  </si>
  <si>
    <t>Base Rate (MSps)</t>
  </si>
  <si>
    <t xml:space="preserve">frequency Band </t>
  </si>
  <si>
    <t>Parameter</t>
  </si>
  <si>
    <t>Description</t>
  </si>
  <si>
    <t>Number of symbols in the packet sync sequence</t>
  </si>
  <si>
    <t>Preamble Symbol Duration (ns)</t>
  </si>
  <si>
    <t># Hop Bursts</t>
  </si>
  <si>
    <t>Number of symbols in the data field</t>
  </si>
  <si>
    <t>Michael Mc Laughlin</t>
  </si>
  <si>
    <t>Voice: +353 87 688 2514</t>
  </si>
  <si>
    <t>E-mail: michael@decawave.com</t>
  </si>
  <si>
    <t>25 Meadowfield, Sandyford, Dublin 18, Ireland</t>
  </si>
  <si>
    <t>[20 July  2006]</t>
  </si>
  <si>
    <t>New Tables 39a 39b 39c</t>
  </si>
  <si>
    <t>Peak PRF MHz</t>
  </si>
  <si>
    <t>Bandwidth MHz</t>
  </si>
  <si>
    <r>
      <t>Code Duration T</t>
    </r>
    <r>
      <rPr>
        <b/>
        <i/>
        <vertAlign val="subscript"/>
        <sz val="8"/>
        <rFont val="Bookman Old Style"/>
        <family val="1"/>
      </rPr>
      <t>psym</t>
    </r>
    <r>
      <rPr>
        <b/>
        <sz val="8"/>
        <rFont val="Bookman Old Style"/>
        <family val="1"/>
      </rPr>
      <t>(ns)</t>
    </r>
  </si>
  <si>
    <t>#Burst Positions per Symbol</t>
  </si>
  <si>
    <r>
      <t>Burst Duration T</t>
    </r>
    <r>
      <rPr>
        <b/>
        <i/>
        <vertAlign val="subscript"/>
        <sz val="8"/>
        <rFont val="Bookman Old Style"/>
        <family val="1"/>
      </rPr>
      <t xml:space="preserve">burst </t>
    </r>
    <r>
      <rPr>
        <i/>
        <vertAlign val="subscript"/>
        <sz val="8"/>
        <rFont val="Bookman Old Style"/>
        <family val="1"/>
      </rPr>
      <t>(</t>
    </r>
    <r>
      <rPr>
        <b/>
        <sz val="8"/>
        <rFont val="Bookman Old Style"/>
        <family val="1"/>
      </rPr>
      <t>ns)</t>
    </r>
  </si>
  <si>
    <r>
      <t>Symbol Duration T</t>
    </r>
    <r>
      <rPr>
        <b/>
        <i/>
        <vertAlign val="subscript"/>
        <sz val="8"/>
        <rFont val="Bookman Old Style"/>
        <family val="1"/>
      </rPr>
      <t>dsym</t>
    </r>
    <r>
      <rPr>
        <b/>
        <sz val="8"/>
        <rFont val="Bookman Old Style"/>
        <family val="1"/>
      </rPr>
      <t>(ns)</t>
    </r>
  </si>
  <si>
    <t>{0:3, 5:6, 8:10, 12:14}</t>
  </si>
  <si>
    <t>{4, 11}</t>
  </si>
  <si>
    <r>
      <t>C</t>
    </r>
    <r>
      <rPr>
        <b/>
        <i/>
        <vertAlign val="subscript"/>
        <sz val="8"/>
        <rFont val="Bookman Old Style"/>
        <family val="1"/>
      </rPr>
      <t>i</t>
    </r>
    <r>
      <rPr>
        <b/>
        <sz val="8"/>
        <rFont val="Bookman Old Style"/>
        <family val="1"/>
      </rPr>
      <t xml:space="preserve"> Code Length</t>
    </r>
  </si>
  <si>
    <r>
      <t xml:space="preserve">Delta Length </t>
    </r>
    <r>
      <rPr>
        <b/>
        <i/>
        <sz val="8"/>
        <rFont val="Arial"/>
        <family val="2"/>
      </rPr>
      <t>δ</t>
    </r>
    <r>
      <rPr>
        <b/>
        <i/>
        <vertAlign val="subscript"/>
        <sz val="8"/>
        <rFont val="Bookman Old Style"/>
        <family val="1"/>
      </rPr>
      <t>L</t>
    </r>
  </si>
  <si>
    <r>
      <t>Symbol Duration T</t>
    </r>
    <r>
      <rPr>
        <b/>
        <i/>
        <vertAlign val="subscript"/>
        <sz val="8"/>
        <rFont val="Bookman Old Style"/>
        <family val="1"/>
      </rPr>
      <t>psym</t>
    </r>
    <r>
      <rPr>
        <b/>
        <sz val="8"/>
        <rFont val="Bookman Old Style"/>
        <family val="1"/>
      </rPr>
      <t>(ns)</t>
    </r>
  </si>
  <si>
    <t>Base Rate (MS/s)</t>
  </si>
  <si>
    <t>{0:15}</t>
  </si>
  <si>
    <t>UWB PHY Channel Number</t>
  </si>
  <si>
    <r>
      <t>PRF</t>
    </r>
    <r>
      <rPr>
        <i/>
        <vertAlign val="subscript"/>
        <sz val="8"/>
        <rFont val="Bookman Old Style"/>
        <family val="1"/>
      </rPr>
      <t>mean</t>
    </r>
  </si>
  <si>
    <r>
      <t xml:space="preserve">  N</t>
    </r>
    <r>
      <rPr>
        <i/>
        <vertAlign val="subscript"/>
        <sz val="8"/>
        <rFont val="Bookman Old Style"/>
        <family val="1"/>
      </rPr>
      <t>c</t>
    </r>
  </si>
  <si>
    <t>Number of chips per preamble symbol</t>
  </si>
  <si>
    <r>
      <t xml:space="preserve">    T</t>
    </r>
    <r>
      <rPr>
        <i/>
        <vertAlign val="subscript"/>
        <sz val="8"/>
        <rFont val="Bookman Old Style"/>
        <family val="1"/>
      </rPr>
      <t>psym</t>
    </r>
  </si>
  <si>
    <r>
      <t xml:space="preserve">    N</t>
    </r>
    <r>
      <rPr>
        <i/>
        <vertAlign val="subscript"/>
        <sz val="8"/>
        <rFont val="Bookman Old Style"/>
        <family val="1"/>
      </rPr>
      <t>sync</t>
    </r>
  </si>
  <si>
    <t>Short</t>
  </si>
  <si>
    <t>Default</t>
  </si>
  <si>
    <t>Medium</t>
  </si>
  <si>
    <t>Long</t>
  </si>
  <si>
    <r>
      <t xml:space="preserve">    T</t>
    </r>
    <r>
      <rPr>
        <i/>
        <vertAlign val="subscript"/>
        <sz val="8"/>
        <rFont val="Bookman Old Style"/>
        <family val="1"/>
      </rPr>
      <t>sync</t>
    </r>
  </si>
  <si>
    <t>Duration of the packet sync sequence (µs)</t>
  </si>
  <si>
    <r>
      <t xml:space="preserve">    N</t>
    </r>
    <r>
      <rPr>
        <i/>
        <vertAlign val="subscript"/>
        <sz val="8"/>
        <rFont val="Bookman Old Style"/>
        <family val="1"/>
      </rPr>
      <t>sfd</t>
    </r>
  </si>
  <si>
    <t>Number of symbols in the frame sequence</t>
  </si>
  <si>
    <r>
      <t xml:space="preserve">    T</t>
    </r>
    <r>
      <rPr>
        <i/>
        <vertAlign val="subscript"/>
        <sz val="8"/>
        <rFont val="Bookman Old Style"/>
        <family val="1"/>
      </rPr>
      <t>sfd</t>
    </r>
  </si>
  <si>
    <t>Duration of the frame sequence (µs)</t>
  </si>
  <si>
    <r>
      <t>N</t>
    </r>
    <r>
      <rPr>
        <i/>
        <vertAlign val="subscript"/>
        <sz val="8"/>
        <rFont val="Bookman Old Style"/>
        <family val="1"/>
      </rPr>
      <t>pre</t>
    </r>
  </si>
  <si>
    <t>Number of symbols in the SHR Preamble</t>
  </si>
  <si>
    <r>
      <t xml:space="preserve">    T</t>
    </r>
    <r>
      <rPr>
        <i/>
        <vertAlign val="subscript"/>
        <sz val="8"/>
        <rFont val="Bookman Old Style"/>
        <family val="1"/>
      </rPr>
      <t>pre</t>
    </r>
  </si>
  <si>
    <r>
      <t>Duration of the SHR Preamble (</t>
    </r>
    <r>
      <rPr>
        <sz val="8"/>
        <rFont val="Arial"/>
        <family val="0"/>
      </rPr>
      <t>µ</t>
    </r>
    <r>
      <rPr>
        <sz val="8"/>
        <rFont val="Bookman Old Style"/>
        <family val="1"/>
      </rPr>
      <t>s)</t>
    </r>
  </si>
  <si>
    <t>NA*</t>
  </si>
  <si>
    <r>
      <t xml:space="preserve">    N</t>
    </r>
    <r>
      <rPr>
        <i/>
        <vertAlign val="subscript"/>
        <sz val="8"/>
        <rFont val="Bookman Old Style"/>
        <family val="1"/>
      </rPr>
      <t>hdr</t>
    </r>
  </si>
  <si>
    <t xml:space="preserve">Number of symbols in the PHY Header </t>
  </si>
  <si>
    <r>
      <t xml:space="preserve">    T</t>
    </r>
    <r>
      <rPr>
        <i/>
        <vertAlign val="subscript"/>
        <sz val="8"/>
        <rFont val="Bookman Old Style"/>
        <family val="1"/>
      </rPr>
      <t>hdr</t>
    </r>
  </si>
  <si>
    <t>Duration of the PHY Header field (µs)</t>
  </si>
  <si>
    <r>
      <t xml:space="preserve">    N</t>
    </r>
    <r>
      <rPr>
        <i/>
        <vertAlign val="subscript"/>
        <sz val="8"/>
        <rFont val="Bookman Old Style"/>
        <family val="1"/>
      </rPr>
      <t>data</t>
    </r>
  </si>
  <si>
    <r>
      <t>16</t>
    </r>
    <r>
      <rPr>
        <sz val="8"/>
        <rFont val="Arial"/>
        <family val="2"/>
      </rPr>
      <t xml:space="preserve"> x </t>
    </r>
    <r>
      <rPr>
        <sz val="8"/>
        <rFont val="Bookman Old Style"/>
        <family val="1"/>
      </rPr>
      <t>LENGTH + 96</t>
    </r>
  </si>
  <si>
    <r>
      <t xml:space="preserve">    T</t>
    </r>
    <r>
      <rPr>
        <i/>
        <vertAlign val="subscript"/>
        <sz val="8"/>
        <rFont val="Bookman Old Style"/>
        <family val="1"/>
      </rPr>
      <t>data</t>
    </r>
  </si>
  <si>
    <t>Duration of the Data Field (µs)</t>
  </si>
  <si>
    <r>
      <t>N</t>
    </r>
    <r>
      <rPr>
        <i/>
        <vertAlign val="subscript"/>
        <sz val="8"/>
        <rFont val="Bookman Old Style"/>
        <family val="1"/>
      </rPr>
      <t>data</t>
    </r>
    <r>
      <rPr>
        <i/>
        <sz val="8"/>
        <rFont val="Arial"/>
        <family val="2"/>
      </rPr>
      <t>x</t>
    </r>
    <r>
      <rPr>
        <i/>
        <sz val="8"/>
        <rFont val="Bookman Old Style"/>
        <family val="1"/>
      </rPr>
      <t>T</t>
    </r>
    <r>
      <rPr>
        <i/>
        <vertAlign val="subscript"/>
        <sz val="8"/>
        <rFont val="Bookman Old Style"/>
        <family val="1"/>
      </rPr>
      <t>dsym</t>
    </r>
  </si>
  <si>
    <t>*The use of the long SYNC sequence is not allowed when operating at a mean PRF of 4.03MHz</t>
  </si>
  <si>
    <t>Peak PRF is harmonized to 499.2MHz for all bands</t>
  </si>
  <si>
    <t>Decawave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</si>
</sst>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17">
    <font>
      <sz val="10"/>
      <name val="Arial"/>
      <family val="0"/>
    </font>
    <font>
      <sz val="8"/>
      <name val="Arial"/>
      <family val="0"/>
    </font>
    <font>
      <b/>
      <sz val="14"/>
      <name val="Times New Roman"/>
      <family val="1"/>
    </font>
    <font>
      <b/>
      <sz val="8"/>
      <name val="Bookman Old Style"/>
      <family val="1"/>
    </font>
    <font>
      <sz val="8"/>
      <name val="Bookman Old Style"/>
      <family val="1"/>
    </font>
    <font>
      <b/>
      <sz val="7.5"/>
      <name val="Bookman Old Style"/>
      <family val="1"/>
    </font>
    <font>
      <sz val="7.5"/>
      <name val="Bookman Old Style"/>
      <family val="1"/>
    </font>
    <font>
      <sz val="11"/>
      <name val="Bookman Old Style"/>
      <family val="1"/>
    </font>
    <font>
      <b/>
      <sz val="11"/>
      <name val="Bookman Old Style"/>
      <family val="1"/>
    </font>
    <font>
      <u val="single"/>
      <sz val="10"/>
      <color indexed="12"/>
      <name val="Arial"/>
      <family val="0"/>
    </font>
    <font>
      <u val="single"/>
      <sz val="10"/>
      <color indexed="36"/>
      <name val="Arial"/>
      <family val="0"/>
    </font>
    <font>
      <b/>
      <i/>
      <vertAlign val="subscript"/>
      <sz val="8"/>
      <name val="Bookman Old Style"/>
      <family val="1"/>
    </font>
    <font>
      <i/>
      <vertAlign val="subscript"/>
      <sz val="8"/>
      <name val="Bookman Old Style"/>
      <family val="1"/>
    </font>
    <font>
      <b/>
      <i/>
      <sz val="8"/>
      <name val="Bookman Old Style"/>
      <family val="1"/>
    </font>
    <font>
      <b/>
      <i/>
      <sz val="8"/>
      <name val="Arial"/>
      <family val="2"/>
    </font>
    <font>
      <i/>
      <sz val="8"/>
      <name val="Bookman Old Style"/>
      <family val="1"/>
    </font>
    <font>
      <i/>
      <sz val="8"/>
      <name val="Arial"/>
      <family val="2"/>
    </font>
  </fonts>
  <fills count="2">
    <fill>
      <patternFill/>
    </fill>
    <fill>
      <patternFill patternType="gray125"/>
    </fill>
  </fills>
  <borders count="6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medium"/>
    </border>
    <border>
      <left style="medium"/>
      <right>
        <color indexed="63"/>
      </right>
      <top style="medium"/>
      <bottom style="mediu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hair"/>
      <right style="hair"/>
      <top>
        <color indexed="63"/>
      </top>
      <bottom style="hair"/>
    </border>
    <border>
      <left style="medium"/>
      <right>
        <color indexed="63"/>
      </right>
      <top>
        <color indexed="63"/>
      </top>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ill="1" applyBorder="1" applyAlignment="1">
      <alignment/>
    </xf>
    <xf numFmtId="0" fontId="6" fillId="0" borderId="0" xfId="0" applyFont="1" applyAlignment="1">
      <alignment/>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0" fillId="0" borderId="0" xfId="0" applyFill="1" applyAlignment="1">
      <alignment/>
    </xf>
    <xf numFmtId="0" fontId="6" fillId="0" borderId="0" xfId="0" applyFont="1" applyFill="1" applyAlignment="1">
      <alignment/>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4" fillId="0" borderId="15" xfId="0"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25" xfId="0" applyFont="1" applyBorder="1" applyAlignment="1">
      <alignment horizontal="center"/>
    </xf>
    <xf numFmtId="0" fontId="4" fillId="0" borderId="4" xfId="0" applyFont="1" applyBorder="1" applyAlignment="1">
      <alignment horizontal="center" vertical="center" wrapText="1"/>
    </xf>
    <xf numFmtId="0" fontId="3" fillId="0" borderId="26"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0" xfId="0" applyFont="1" applyAlignment="1">
      <alignment/>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2" fontId="4" fillId="0" borderId="30" xfId="0" applyNumberFormat="1" applyFont="1" applyFill="1" applyBorder="1" applyAlignment="1">
      <alignment horizontal="center" vertical="center"/>
    </xf>
    <xf numFmtId="0" fontId="4" fillId="0" borderId="31"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1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wrapText="1"/>
    </xf>
    <xf numFmtId="0" fontId="15" fillId="0" borderId="35" xfId="0" applyFont="1" applyBorder="1" applyAlignment="1">
      <alignment horizontal="center" vertical="center"/>
    </xf>
    <xf numFmtId="0" fontId="4" fillId="0" borderId="1" xfId="0" applyFont="1" applyBorder="1" applyAlignment="1">
      <alignment horizontal="center" vertical="center"/>
    </xf>
    <xf numFmtId="2" fontId="4" fillId="0" borderId="36"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5" fillId="0" borderId="39"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2" xfId="0" applyFont="1" applyBorder="1" applyAlignment="1">
      <alignment horizontal="center" vertical="center" wrapText="1"/>
    </xf>
    <xf numFmtId="178" fontId="4" fillId="0" borderId="36"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8"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4" fillId="0" borderId="4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41"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4" xfId="0" applyNumberFormat="1" applyFont="1" applyBorder="1" applyAlignment="1">
      <alignment horizontal="center" vertical="center"/>
    </xf>
    <xf numFmtId="178" fontId="4" fillId="0" borderId="43" xfId="0" applyNumberFormat="1" applyFont="1" applyBorder="1" applyAlignment="1">
      <alignment horizontal="center" vertical="center"/>
    </xf>
    <xf numFmtId="178" fontId="4" fillId="0" borderId="44" xfId="0" applyNumberFormat="1" applyFont="1" applyBorder="1" applyAlignment="1">
      <alignment horizontal="center" vertical="center"/>
    </xf>
    <xf numFmtId="178" fontId="4" fillId="0" borderId="5" xfId="0" applyNumberFormat="1" applyFont="1" applyBorder="1" applyAlignment="1">
      <alignment horizontal="center" vertical="center"/>
    </xf>
    <xf numFmtId="178" fontId="4" fillId="0" borderId="45" xfId="0" applyNumberFormat="1" applyFont="1" applyBorder="1" applyAlignment="1">
      <alignment horizontal="center" vertical="center"/>
    </xf>
    <xf numFmtId="0" fontId="4" fillId="0" borderId="1" xfId="0" applyFont="1" applyBorder="1" applyAlignment="1">
      <alignment horizontal="center" vertical="center" wrapText="1"/>
    </xf>
    <xf numFmtId="178" fontId="4" fillId="0" borderId="46"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47" xfId="0" applyNumberFormat="1" applyFont="1" applyBorder="1" applyAlignment="1">
      <alignment horizontal="center" vertical="center"/>
    </xf>
    <xf numFmtId="0" fontId="15" fillId="0" borderId="48" xfId="0" applyFont="1"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center" vertical="center" wrapText="1"/>
    </xf>
    <xf numFmtId="0" fontId="7" fillId="0" borderId="2" xfId="0" applyFont="1" applyBorder="1" applyAlignment="1">
      <alignment vertical="top" wrapText="1"/>
    </xf>
    <xf numFmtId="0" fontId="7" fillId="0" borderId="1"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xf>
    <xf numFmtId="0" fontId="4"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0" xfId="0" applyFont="1" applyFill="1" applyBorder="1" applyAlignment="1">
      <alignment horizontal="center"/>
    </xf>
    <xf numFmtId="0" fontId="1" fillId="0" borderId="12" xfId="0" applyFont="1" applyBorder="1" applyAlignment="1">
      <alignment horizontal="center" vertical="center" wrapText="1"/>
    </xf>
    <xf numFmtId="0" fontId="3"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2" xfId="0" applyBorder="1" applyAlignment="1">
      <alignment horizontal="center" vertical="center" wrapText="1"/>
    </xf>
    <xf numFmtId="0" fontId="3" fillId="0" borderId="13" xfId="0" applyFont="1" applyFill="1" applyBorder="1" applyAlignment="1">
      <alignment horizontal="center" vertical="center" wrapText="1"/>
    </xf>
    <xf numFmtId="0" fontId="3" fillId="0" borderId="2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3" fillId="0" borderId="51" xfId="0" applyFont="1" applyFill="1"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1" fillId="0" borderId="52" xfId="0" applyFont="1" applyBorder="1" applyAlignment="1">
      <alignment horizontal="center" vertical="center"/>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26"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53" xfId="0" applyFont="1" applyBorder="1" applyAlignment="1" quotePrefix="1">
      <alignment horizontal="center" vertical="center"/>
    </xf>
    <xf numFmtId="0" fontId="15" fillId="0" borderId="49" xfId="0" applyFont="1" applyBorder="1" applyAlignment="1" quotePrefix="1">
      <alignment horizontal="center" vertical="center"/>
    </xf>
    <xf numFmtId="0" fontId="15" fillId="0" borderId="54" xfId="0" applyFont="1" applyBorder="1" applyAlignment="1" quotePrefix="1">
      <alignment horizontal="center" vertical="center"/>
    </xf>
    <xf numFmtId="0" fontId="4" fillId="0" borderId="55" xfId="0" applyFont="1" applyBorder="1" applyAlignment="1">
      <alignment horizontal="lef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3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6" xfId="0" applyFont="1" applyBorder="1" applyAlignment="1">
      <alignment horizontal="center" vertical="center"/>
    </xf>
    <xf numFmtId="0" fontId="4" fillId="0" borderId="2"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quotePrefix="1">
      <alignment horizontal="center" vertical="center"/>
    </xf>
    <xf numFmtId="0" fontId="4" fillId="0" borderId="40"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45" xfId="0" applyFont="1" applyBorder="1" applyAlignment="1">
      <alignment horizontal="center" vertical="center"/>
    </xf>
    <xf numFmtId="0" fontId="3" fillId="0" borderId="26" xfId="0" applyFont="1" applyBorder="1" applyAlignment="1">
      <alignment horizontal="center"/>
    </xf>
    <xf numFmtId="0" fontId="3" fillId="0" borderId="52" xfId="0" applyFont="1" applyBorder="1" applyAlignment="1">
      <alignment horizontal="center"/>
    </xf>
    <xf numFmtId="0" fontId="3" fillId="0" borderId="51" xfId="0" applyFont="1" applyBorder="1" applyAlignment="1">
      <alignment horizontal="center"/>
    </xf>
    <xf numFmtId="0" fontId="4" fillId="0" borderId="58" xfId="0" applyFont="1" applyBorder="1" applyAlignment="1">
      <alignment horizontal="center" vertical="center"/>
    </xf>
    <xf numFmtId="0" fontId="4" fillId="0" borderId="59"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3"/>
  <sheetViews>
    <sheetView tabSelected="1" workbookViewId="0" topLeftCell="A1">
      <selection activeCell="B19" sqref="B19"/>
    </sheetView>
  </sheetViews>
  <sheetFormatPr defaultColWidth="9.140625" defaultRowHeight="12.75"/>
  <cols>
    <col min="1" max="1" width="18.57421875" style="0" customWidth="1"/>
    <col min="2" max="2" width="31.421875" style="0" customWidth="1"/>
    <col min="3" max="3" width="58.57421875" style="0" customWidth="1"/>
  </cols>
  <sheetData>
    <row r="1" spans="1:3" ht="18.75">
      <c r="A1" s="2"/>
      <c r="B1" s="1"/>
      <c r="C1" s="1"/>
    </row>
    <row r="2" spans="1:3" ht="15">
      <c r="A2" s="5" t="s">
        <v>4</v>
      </c>
      <c r="B2" s="103" t="s">
        <v>5</v>
      </c>
      <c r="C2" s="103"/>
    </row>
    <row r="3" spans="1:3" ht="15">
      <c r="A3" s="6" t="s">
        <v>6</v>
      </c>
      <c r="B3" s="104" t="s">
        <v>43</v>
      </c>
      <c r="C3" s="104"/>
    </row>
    <row r="4" spans="1:3" ht="20.25" customHeight="1">
      <c r="A4" s="6" t="s">
        <v>7</v>
      </c>
      <c r="B4" s="102" t="s">
        <v>42</v>
      </c>
      <c r="C4" s="102"/>
    </row>
    <row r="5" spans="1:3" ht="15">
      <c r="A5" s="102" t="s">
        <v>8</v>
      </c>
      <c r="B5" s="7" t="s">
        <v>38</v>
      </c>
      <c r="C5" s="7" t="s">
        <v>39</v>
      </c>
    </row>
    <row r="6" spans="1:3" ht="15">
      <c r="A6" s="105"/>
      <c r="B6" s="8" t="s">
        <v>89</v>
      </c>
      <c r="C6" s="8"/>
    </row>
    <row r="7" spans="1:3" ht="15">
      <c r="A7" s="105"/>
      <c r="B7" s="9"/>
      <c r="C7" s="9" t="s">
        <v>40</v>
      </c>
    </row>
    <row r="8" spans="1:3" ht="30">
      <c r="A8" s="105"/>
      <c r="B8" s="6" t="s">
        <v>41</v>
      </c>
      <c r="C8" s="6"/>
    </row>
    <row r="9" spans="1:3" ht="36" customHeight="1">
      <c r="A9" s="10" t="s">
        <v>9</v>
      </c>
      <c r="B9" s="10" t="s">
        <v>43</v>
      </c>
      <c r="C9" s="10"/>
    </row>
    <row r="10" spans="1:3" ht="15">
      <c r="A10" s="6" t="s">
        <v>10</v>
      </c>
      <c r="B10" s="102" t="s">
        <v>88</v>
      </c>
      <c r="C10" s="102"/>
    </row>
    <row r="11" spans="1:3" ht="15">
      <c r="A11" s="6" t="s">
        <v>11</v>
      </c>
      <c r="B11" s="102" t="s">
        <v>16</v>
      </c>
      <c r="C11" s="102"/>
    </row>
    <row r="12" spans="1:3" ht="79.5" customHeight="1">
      <c r="A12" s="6" t="s">
        <v>12</v>
      </c>
      <c r="B12" s="102" t="s">
        <v>13</v>
      </c>
      <c r="C12" s="102"/>
    </row>
    <row r="13" spans="1:3" ht="32.25" customHeight="1">
      <c r="A13" s="6" t="s">
        <v>14</v>
      </c>
      <c r="B13" s="102" t="s">
        <v>15</v>
      </c>
      <c r="C13" s="102"/>
    </row>
  </sheetData>
  <mergeCells count="8">
    <mergeCell ref="A5:A8"/>
    <mergeCell ref="B10:C10"/>
    <mergeCell ref="B11:C11"/>
    <mergeCell ref="B12:C12"/>
    <mergeCell ref="B13:C13"/>
    <mergeCell ref="B2:C2"/>
    <mergeCell ref="B3:C3"/>
    <mergeCell ref="B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AD73"/>
  <sheetViews>
    <sheetView zoomScale="130" zoomScaleNormal="130" workbookViewId="0" topLeftCell="A1">
      <selection activeCell="W29" sqref="W29"/>
    </sheetView>
  </sheetViews>
  <sheetFormatPr defaultColWidth="9.140625" defaultRowHeight="12.75"/>
  <cols>
    <col min="1" max="1" width="3.57421875" style="0" customWidth="1"/>
    <col min="2" max="2" width="8.00390625" style="0" customWidth="1"/>
    <col min="3" max="3" width="7.8515625" style="0" customWidth="1"/>
    <col min="4" max="4" width="9.57421875" style="0" customWidth="1"/>
    <col min="5" max="5" width="8.57421875" style="0" customWidth="1"/>
    <col min="6" max="6" width="6.57421875" style="0" customWidth="1"/>
    <col min="7" max="7" width="6.00390625" style="0" customWidth="1"/>
    <col min="8" max="8" width="7.00390625" style="0" customWidth="1"/>
    <col min="9" max="9" width="7.00390625" style="0" hidden="1" customWidth="1"/>
    <col min="10" max="10" width="6.140625" style="0" hidden="1" customWidth="1"/>
    <col min="11" max="11" width="9.7109375" style="0" hidden="1" customWidth="1"/>
    <col min="12" max="12" width="7.140625" style="0" hidden="1" customWidth="1"/>
    <col min="13" max="13" width="10.140625" style="0" customWidth="1"/>
    <col min="14" max="14" width="6.421875" style="0" customWidth="1"/>
    <col min="15" max="15" width="7.7109375" style="0" customWidth="1"/>
    <col min="16" max="16" width="8.421875" style="0" customWidth="1"/>
    <col min="17" max="17" width="10.8515625" style="0" customWidth="1"/>
    <col min="18" max="18" width="9.7109375" style="0" customWidth="1"/>
    <col min="19" max="19" width="7.28125" style="0" customWidth="1"/>
    <col min="20" max="20" width="6.7109375" style="0" customWidth="1"/>
    <col min="21" max="21" width="8.140625" style="0" customWidth="1"/>
    <col min="22" max="22" width="9.00390625" style="0" customWidth="1"/>
    <col min="23" max="23" width="9.57421875" style="0" customWidth="1"/>
    <col min="24" max="24" width="10.28125" style="0" customWidth="1"/>
    <col min="25" max="25" width="9.28125" style="0" customWidth="1"/>
  </cols>
  <sheetData>
    <row r="1" spans="23:26" ht="13.5" thickBot="1">
      <c r="W1" s="3"/>
      <c r="X1" s="3"/>
      <c r="Y1" s="3"/>
      <c r="Z1" s="3"/>
    </row>
    <row r="2" spans="2:26" ht="15" customHeight="1" thickBot="1">
      <c r="B2" s="118" t="s">
        <v>17</v>
      </c>
      <c r="C2" s="115" t="s">
        <v>44</v>
      </c>
      <c r="D2" s="115" t="s">
        <v>45</v>
      </c>
      <c r="E2" s="116" t="s">
        <v>20</v>
      </c>
      <c r="F2" s="119" t="s">
        <v>2</v>
      </c>
      <c r="G2" s="120"/>
      <c r="H2" s="121"/>
      <c r="I2" s="119" t="s">
        <v>1</v>
      </c>
      <c r="J2" s="122"/>
      <c r="K2" s="122"/>
      <c r="L2" s="123"/>
      <c r="M2" s="119" t="s">
        <v>3</v>
      </c>
      <c r="N2" s="124"/>
      <c r="O2" s="124"/>
      <c r="P2" s="124"/>
      <c r="Q2" s="124"/>
      <c r="R2" s="123"/>
      <c r="S2" s="119" t="s">
        <v>19</v>
      </c>
      <c r="T2" s="122"/>
      <c r="U2" s="125"/>
      <c r="V2" s="13"/>
      <c r="W2" s="109"/>
      <c r="X2" s="109"/>
      <c r="Y2" s="109"/>
      <c r="Z2" s="13"/>
    </row>
    <row r="3" spans="2:25" ht="18" customHeight="1">
      <c r="B3" s="126"/>
      <c r="C3" s="127"/>
      <c r="D3" s="113"/>
      <c r="E3" s="129"/>
      <c r="F3" s="111" t="s">
        <v>21</v>
      </c>
      <c r="G3" s="113" t="s">
        <v>22</v>
      </c>
      <c r="H3" s="56" t="s">
        <v>23</v>
      </c>
      <c r="I3" s="118" t="s">
        <v>28</v>
      </c>
      <c r="J3" s="115" t="s">
        <v>29</v>
      </c>
      <c r="K3" s="115" t="s">
        <v>46</v>
      </c>
      <c r="L3" s="116" t="s">
        <v>30</v>
      </c>
      <c r="M3" s="111" t="s">
        <v>47</v>
      </c>
      <c r="N3" s="113" t="s">
        <v>36</v>
      </c>
      <c r="O3" s="113" t="s">
        <v>24</v>
      </c>
      <c r="P3" s="113" t="s">
        <v>25</v>
      </c>
      <c r="Q3" s="113" t="s">
        <v>48</v>
      </c>
      <c r="R3" s="56" t="s">
        <v>49</v>
      </c>
      <c r="S3" s="111" t="s">
        <v>26</v>
      </c>
      <c r="T3" s="113" t="s">
        <v>27</v>
      </c>
      <c r="U3" s="56" t="s">
        <v>29</v>
      </c>
      <c r="V3" s="13"/>
      <c r="W3" s="13"/>
      <c r="X3" s="13"/>
      <c r="Y3" s="13"/>
    </row>
    <row r="4" spans="2:25" ht="33" customHeight="1" thickBot="1">
      <c r="B4" s="112"/>
      <c r="C4" s="114"/>
      <c r="D4" s="128"/>
      <c r="E4" s="110"/>
      <c r="F4" s="112"/>
      <c r="G4" s="114"/>
      <c r="H4" s="110"/>
      <c r="I4" s="112"/>
      <c r="J4" s="114"/>
      <c r="K4" s="114"/>
      <c r="L4" s="117"/>
      <c r="M4" s="112"/>
      <c r="N4" s="114"/>
      <c r="O4" s="114"/>
      <c r="P4" s="114"/>
      <c r="Q4" s="114"/>
      <c r="R4" s="110"/>
      <c r="S4" s="112"/>
      <c r="T4" s="114"/>
      <c r="U4" s="110"/>
      <c r="V4" s="14"/>
      <c r="W4" s="14"/>
      <c r="X4" s="14"/>
      <c r="Y4" s="13"/>
    </row>
    <row r="5" spans="2:25" ht="13.5">
      <c r="B5" s="106" t="s">
        <v>50</v>
      </c>
      <c r="C5" s="17">
        <v>499.2</v>
      </c>
      <c r="D5" s="17">
        <f>C5</f>
        <v>499.2</v>
      </c>
      <c r="E5" s="18">
        <f>31</f>
        <v>31</v>
      </c>
      <c r="F5" s="23">
        <v>0.5</v>
      </c>
      <c r="G5" s="24">
        <f aca="true" t="shared" si="0" ref="G5:G16">55/63</f>
        <v>0.873015873015873</v>
      </c>
      <c r="H5" s="25">
        <f aca="true" t="shared" si="1" ref="H5:H22">F5*G5</f>
        <v>0.4365079365079365</v>
      </c>
      <c r="I5" s="35">
        <f>C5/16</f>
        <v>31.2</v>
      </c>
      <c r="J5" s="36">
        <f aca="true" t="shared" si="2" ref="J5:J18">I5*0.5*(E5+1)/E5</f>
        <v>16.10322580645161</v>
      </c>
      <c r="K5" s="36">
        <f aca="true" t="shared" si="3" ref="K5:K18">1000*E5/I5</f>
        <v>993.5897435897436</v>
      </c>
      <c r="L5" s="37">
        <f>1000/K5</f>
        <v>1.0064516129032257</v>
      </c>
      <c r="M5" s="23">
        <v>32</v>
      </c>
      <c r="N5" s="17">
        <f>M5/4</f>
        <v>8</v>
      </c>
      <c r="O5" s="17">
        <v>128</v>
      </c>
      <c r="P5" s="17">
        <f aca="true" t="shared" si="4" ref="P5:P40">M5*O5</f>
        <v>4096</v>
      </c>
      <c r="Q5" s="24">
        <f aca="true" t="shared" si="5" ref="Q5:Q40">1000*O5*(1/C5)</f>
        <v>256.41025641025647</v>
      </c>
      <c r="R5" s="25">
        <f aca="true" t="shared" si="6" ref="R5:R40">Q5*M5</f>
        <v>8205.128205128207</v>
      </c>
      <c r="S5" s="26">
        <f aca="true" t="shared" si="7" ref="S5:S40">1000/R5</f>
        <v>0.12187499999999997</v>
      </c>
      <c r="T5" s="24">
        <f aca="true" t="shared" si="8" ref="T5:T40">S5*2*H5</f>
        <v>0.10639880952380949</v>
      </c>
      <c r="U5" s="25">
        <f aca="true" t="shared" si="9" ref="U5:U19">1000*O5/R5</f>
        <v>15.599999999999996</v>
      </c>
      <c r="V5" s="12"/>
      <c r="W5" s="12"/>
      <c r="X5" s="12"/>
      <c r="Y5" s="11"/>
    </row>
    <row r="6" spans="2:30" ht="13.5">
      <c r="B6" s="107"/>
      <c r="C6" s="19">
        <f aca="true" t="shared" si="10" ref="C6:E7">C5</f>
        <v>499.2</v>
      </c>
      <c r="D6" s="19">
        <f aca="true" t="shared" si="11" ref="D6:D16">C6</f>
        <v>499.2</v>
      </c>
      <c r="E6" s="20">
        <f t="shared" si="10"/>
        <v>31</v>
      </c>
      <c r="F6" s="27">
        <v>0.5</v>
      </c>
      <c r="G6" s="28">
        <f t="shared" si="0"/>
        <v>0.873015873015873</v>
      </c>
      <c r="H6" s="29">
        <f t="shared" si="1"/>
        <v>0.4365079365079365</v>
      </c>
      <c r="I6" s="38">
        <f>I5</f>
        <v>31.2</v>
      </c>
      <c r="J6" s="39">
        <f t="shared" si="2"/>
        <v>16.10322580645161</v>
      </c>
      <c r="K6" s="39">
        <f t="shared" si="3"/>
        <v>993.5897435897436</v>
      </c>
      <c r="L6" s="40">
        <f aca="true" t="shared" si="12" ref="L6:L40">1000/K6</f>
        <v>1.0064516129032257</v>
      </c>
      <c r="M6" s="27">
        <f aca="true" t="shared" si="13" ref="M6:N8">M5</f>
        <v>32</v>
      </c>
      <c r="N6" s="19">
        <f t="shared" si="13"/>
        <v>8</v>
      </c>
      <c r="O6" s="19">
        <v>16</v>
      </c>
      <c r="P6" s="19">
        <f t="shared" si="4"/>
        <v>512</v>
      </c>
      <c r="Q6" s="28">
        <f t="shared" si="5"/>
        <v>32.05128205128206</v>
      </c>
      <c r="R6" s="29">
        <f t="shared" si="6"/>
        <v>1025.6410256410259</v>
      </c>
      <c r="S6" s="30">
        <f t="shared" si="7"/>
        <v>0.9749999999999998</v>
      </c>
      <c r="T6" s="28">
        <f t="shared" si="8"/>
        <v>0.8511904761904759</v>
      </c>
      <c r="U6" s="29">
        <f t="shared" si="9"/>
        <v>15.599999999999996</v>
      </c>
      <c r="V6" s="12"/>
      <c r="W6" s="12"/>
      <c r="X6" s="12"/>
      <c r="Y6" s="11"/>
      <c r="AB6" s="3"/>
      <c r="AC6" s="3"/>
      <c r="AD6" s="3"/>
    </row>
    <row r="7" spans="2:30" ht="13.5">
      <c r="B7" s="107"/>
      <c r="C7" s="19">
        <f t="shared" si="10"/>
        <v>499.2</v>
      </c>
      <c r="D7" s="19">
        <f t="shared" si="11"/>
        <v>499.2</v>
      </c>
      <c r="E7" s="20">
        <f t="shared" si="10"/>
        <v>31</v>
      </c>
      <c r="F7" s="27">
        <v>0.5</v>
      </c>
      <c r="G7" s="28">
        <f t="shared" si="0"/>
        <v>0.873015873015873</v>
      </c>
      <c r="H7" s="29">
        <f t="shared" si="1"/>
        <v>0.4365079365079365</v>
      </c>
      <c r="I7" s="38">
        <f>I6</f>
        <v>31.2</v>
      </c>
      <c r="J7" s="39">
        <f t="shared" si="2"/>
        <v>16.10322580645161</v>
      </c>
      <c r="K7" s="39">
        <f t="shared" si="3"/>
        <v>993.5897435897436</v>
      </c>
      <c r="L7" s="40">
        <f t="shared" si="12"/>
        <v>1.0064516129032257</v>
      </c>
      <c r="M7" s="27">
        <f t="shared" si="13"/>
        <v>32</v>
      </c>
      <c r="N7" s="19">
        <f t="shared" si="13"/>
        <v>8</v>
      </c>
      <c r="O7" s="19">
        <v>2</v>
      </c>
      <c r="P7" s="19">
        <f t="shared" si="4"/>
        <v>64</v>
      </c>
      <c r="Q7" s="28">
        <f t="shared" si="5"/>
        <v>4.006410256410257</v>
      </c>
      <c r="R7" s="29">
        <f t="shared" si="6"/>
        <v>128.20512820512823</v>
      </c>
      <c r="S7" s="30">
        <f t="shared" si="7"/>
        <v>7.799999999999998</v>
      </c>
      <c r="T7" s="28">
        <f t="shared" si="8"/>
        <v>6.8095238095238075</v>
      </c>
      <c r="U7" s="29">
        <f t="shared" si="9"/>
        <v>15.599999999999996</v>
      </c>
      <c r="V7" s="12"/>
      <c r="W7" s="12"/>
      <c r="X7" s="12"/>
      <c r="Y7" s="11"/>
      <c r="AB7" s="3"/>
      <c r="AC7" s="3"/>
      <c r="AD7" s="3"/>
    </row>
    <row r="8" spans="2:30" ht="14.25" thickBot="1">
      <c r="B8" s="108"/>
      <c r="C8" s="21">
        <f>C7</f>
        <v>499.2</v>
      </c>
      <c r="D8" s="21">
        <f t="shared" si="11"/>
        <v>499.2</v>
      </c>
      <c r="E8" s="22">
        <f>E7</f>
        <v>31</v>
      </c>
      <c r="F8" s="27">
        <v>1</v>
      </c>
      <c r="G8" s="28">
        <f t="shared" si="0"/>
        <v>0.873015873015873</v>
      </c>
      <c r="H8" s="29">
        <f t="shared" si="1"/>
        <v>0.873015873015873</v>
      </c>
      <c r="I8" s="41">
        <f>I7</f>
        <v>31.2</v>
      </c>
      <c r="J8" s="42">
        <f t="shared" si="2"/>
        <v>16.10322580645161</v>
      </c>
      <c r="K8" s="42">
        <f t="shared" si="3"/>
        <v>993.5897435897436</v>
      </c>
      <c r="L8" s="43">
        <f t="shared" si="12"/>
        <v>1.0064516129032257</v>
      </c>
      <c r="M8" s="27">
        <f t="shared" si="13"/>
        <v>32</v>
      </c>
      <c r="N8" s="19">
        <f t="shared" si="13"/>
        <v>8</v>
      </c>
      <c r="O8" s="19">
        <v>1</v>
      </c>
      <c r="P8" s="19">
        <f t="shared" si="4"/>
        <v>32</v>
      </c>
      <c r="Q8" s="28">
        <f t="shared" si="5"/>
        <v>2.0032051282051286</v>
      </c>
      <c r="R8" s="29">
        <f t="shared" si="6"/>
        <v>64.10256410256412</v>
      </c>
      <c r="S8" s="30">
        <f t="shared" si="7"/>
        <v>15.599999999999996</v>
      </c>
      <c r="T8" s="28">
        <f t="shared" si="8"/>
        <v>27.23809523809523</v>
      </c>
      <c r="U8" s="29">
        <f t="shared" si="9"/>
        <v>15.599999999999996</v>
      </c>
      <c r="V8" s="12"/>
      <c r="W8" s="12"/>
      <c r="X8" s="12"/>
      <c r="Y8" s="11"/>
      <c r="AB8" s="3"/>
      <c r="AC8" s="3"/>
      <c r="AD8" s="3"/>
    </row>
    <row r="9" spans="2:25" ht="13.5" customHeight="1">
      <c r="B9" s="106" t="s">
        <v>50</v>
      </c>
      <c r="C9" s="19">
        <f>C5</f>
        <v>499.2</v>
      </c>
      <c r="D9" s="17">
        <f>C9</f>
        <v>499.2</v>
      </c>
      <c r="E9" s="20">
        <v>31</v>
      </c>
      <c r="F9" s="23">
        <v>0.5</v>
      </c>
      <c r="G9" s="24">
        <f t="shared" si="0"/>
        <v>0.873015873015873</v>
      </c>
      <c r="H9" s="25">
        <f t="shared" si="1"/>
        <v>0.4365079365079365</v>
      </c>
      <c r="I9" s="35">
        <f>C9/64</f>
        <v>7.8</v>
      </c>
      <c r="J9" s="36">
        <f t="shared" si="2"/>
        <v>4.025806451612903</v>
      </c>
      <c r="K9" s="36">
        <f t="shared" si="3"/>
        <v>3974.3589743589746</v>
      </c>
      <c r="L9" s="37">
        <f t="shared" si="12"/>
        <v>0.25161290322580643</v>
      </c>
      <c r="M9" s="23">
        <f>M5*4</f>
        <v>128</v>
      </c>
      <c r="N9" s="17">
        <f>M9/4</f>
        <v>32</v>
      </c>
      <c r="O9" s="17">
        <v>32</v>
      </c>
      <c r="P9" s="17">
        <f t="shared" si="4"/>
        <v>4096</v>
      </c>
      <c r="Q9" s="24">
        <f t="shared" si="5"/>
        <v>64.10256410256412</v>
      </c>
      <c r="R9" s="25">
        <f t="shared" si="6"/>
        <v>8205.128205128207</v>
      </c>
      <c r="S9" s="26">
        <f t="shared" si="7"/>
        <v>0.12187499999999997</v>
      </c>
      <c r="T9" s="24">
        <f t="shared" si="8"/>
        <v>0.10639880952380949</v>
      </c>
      <c r="U9" s="25">
        <f t="shared" si="9"/>
        <v>3.899999999999999</v>
      </c>
      <c r="V9" s="12"/>
      <c r="W9" s="12"/>
      <c r="X9" s="12"/>
      <c r="Y9" s="11"/>
    </row>
    <row r="10" spans="2:25" ht="13.5">
      <c r="B10" s="107"/>
      <c r="C10" s="19">
        <f aca="true" t="shared" si="14" ref="C10:E11">C9</f>
        <v>499.2</v>
      </c>
      <c r="D10" s="19">
        <f t="shared" si="11"/>
        <v>499.2</v>
      </c>
      <c r="E10" s="20">
        <f t="shared" si="14"/>
        <v>31</v>
      </c>
      <c r="F10" s="27">
        <v>0.5</v>
      </c>
      <c r="G10" s="28">
        <f t="shared" si="0"/>
        <v>0.873015873015873</v>
      </c>
      <c r="H10" s="29">
        <f t="shared" si="1"/>
        <v>0.4365079365079365</v>
      </c>
      <c r="I10" s="38">
        <f>I9</f>
        <v>7.8</v>
      </c>
      <c r="J10" s="39">
        <f t="shared" si="2"/>
        <v>4.025806451612903</v>
      </c>
      <c r="K10" s="39">
        <f t="shared" si="3"/>
        <v>3974.3589743589746</v>
      </c>
      <c r="L10" s="40">
        <f t="shared" si="12"/>
        <v>0.25161290322580643</v>
      </c>
      <c r="M10" s="27">
        <f aca="true" t="shared" si="15" ref="M10:N12">M9</f>
        <v>128</v>
      </c>
      <c r="N10" s="19">
        <f t="shared" si="15"/>
        <v>32</v>
      </c>
      <c r="O10" s="19">
        <v>4</v>
      </c>
      <c r="P10" s="19">
        <f t="shared" si="4"/>
        <v>512</v>
      </c>
      <c r="Q10" s="28">
        <f t="shared" si="5"/>
        <v>8.012820512820515</v>
      </c>
      <c r="R10" s="29">
        <f t="shared" si="6"/>
        <v>1025.6410256410259</v>
      </c>
      <c r="S10" s="30">
        <f t="shared" si="7"/>
        <v>0.9749999999999998</v>
      </c>
      <c r="T10" s="28">
        <f t="shared" si="8"/>
        <v>0.8511904761904759</v>
      </c>
      <c r="U10" s="29">
        <f t="shared" si="9"/>
        <v>3.899999999999999</v>
      </c>
      <c r="V10" s="12"/>
      <c r="W10" s="12"/>
      <c r="X10" s="12"/>
      <c r="Y10" s="11"/>
    </row>
    <row r="11" spans="2:25" ht="12.75" customHeight="1">
      <c r="B11" s="107"/>
      <c r="C11" s="19">
        <f t="shared" si="14"/>
        <v>499.2</v>
      </c>
      <c r="D11" s="19">
        <f t="shared" si="11"/>
        <v>499.2</v>
      </c>
      <c r="E11" s="20">
        <f t="shared" si="14"/>
        <v>31</v>
      </c>
      <c r="F11" s="27">
        <v>0.5</v>
      </c>
      <c r="G11" s="28">
        <f t="shared" si="0"/>
        <v>0.873015873015873</v>
      </c>
      <c r="H11" s="29">
        <f t="shared" si="1"/>
        <v>0.4365079365079365</v>
      </c>
      <c r="I11" s="38">
        <f>I10</f>
        <v>7.8</v>
      </c>
      <c r="J11" s="39">
        <f t="shared" si="2"/>
        <v>4.025806451612903</v>
      </c>
      <c r="K11" s="39">
        <f t="shared" si="3"/>
        <v>3974.3589743589746</v>
      </c>
      <c r="L11" s="40">
        <f t="shared" si="12"/>
        <v>0.25161290322580643</v>
      </c>
      <c r="M11" s="27">
        <f t="shared" si="15"/>
        <v>128</v>
      </c>
      <c r="N11" s="19">
        <f t="shared" si="15"/>
        <v>32</v>
      </c>
      <c r="O11" s="19">
        <v>2</v>
      </c>
      <c r="P11" s="19">
        <f t="shared" si="4"/>
        <v>256</v>
      </c>
      <c r="Q11" s="28">
        <f t="shared" si="5"/>
        <v>4.006410256410257</v>
      </c>
      <c r="R11" s="29">
        <f t="shared" si="6"/>
        <v>512.8205128205129</v>
      </c>
      <c r="S11" s="30">
        <f t="shared" si="7"/>
        <v>1.9499999999999995</v>
      </c>
      <c r="T11" s="28">
        <f t="shared" si="8"/>
        <v>1.7023809523809519</v>
      </c>
      <c r="U11" s="29">
        <f t="shared" si="9"/>
        <v>3.899999999999999</v>
      </c>
      <c r="V11" s="12"/>
      <c r="W11" s="12"/>
      <c r="X11" s="12"/>
      <c r="Y11" s="11"/>
    </row>
    <row r="12" spans="2:25" ht="14.25" thickBot="1">
      <c r="B12" s="108"/>
      <c r="C12" s="19">
        <f>C11</f>
        <v>499.2</v>
      </c>
      <c r="D12" s="21">
        <f t="shared" si="11"/>
        <v>499.2</v>
      </c>
      <c r="E12" s="20">
        <f>E11</f>
        <v>31</v>
      </c>
      <c r="F12" s="31">
        <v>1</v>
      </c>
      <c r="G12" s="32">
        <f t="shared" si="0"/>
        <v>0.873015873015873</v>
      </c>
      <c r="H12" s="33">
        <f t="shared" si="1"/>
        <v>0.873015873015873</v>
      </c>
      <c r="I12" s="41">
        <f>I11</f>
        <v>7.8</v>
      </c>
      <c r="J12" s="42">
        <f t="shared" si="2"/>
        <v>4.025806451612903</v>
      </c>
      <c r="K12" s="42">
        <f t="shared" si="3"/>
        <v>3974.3589743589746</v>
      </c>
      <c r="L12" s="43">
        <f t="shared" si="12"/>
        <v>0.25161290322580643</v>
      </c>
      <c r="M12" s="31">
        <f t="shared" si="15"/>
        <v>128</v>
      </c>
      <c r="N12" s="21">
        <f t="shared" si="15"/>
        <v>32</v>
      </c>
      <c r="O12" s="21">
        <v>1</v>
      </c>
      <c r="P12" s="21">
        <f t="shared" si="4"/>
        <v>128</v>
      </c>
      <c r="Q12" s="32">
        <f t="shared" si="5"/>
        <v>2.0032051282051286</v>
      </c>
      <c r="R12" s="33">
        <f t="shared" si="6"/>
        <v>256.41025641025647</v>
      </c>
      <c r="S12" s="34">
        <f t="shared" si="7"/>
        <v>3.899999999999999</v>
      </c>
      <c r="T12" s="32">
        <f t="shared" si="8"/>
        <v>6.8095238095238075</v>
      </c>
      <c r="U12" s="33">
        <f t="shared" si="9"/>
        <v>3.899999999999999</v>
      </c>
      <c r="V12" s="12"/>
      <c r="W12" s="12"/>
      <c r="X12" s="12"/>
      <c r="Y12" s="11"/>
    </row>
    <row r="13" spans="2:25" ht="13.5" customHeight="1">
      <c r="B13" s="106" t="s">
        <v>50</v>
      </c>
      <c r="C13" s="17">
        <v>499.2</v>
      </c>
      <c r="D13" s="17">
        <f>C13</f>
        <v>499.2</v>
      </c>
      <c r="E13" s="18">
        <f>127</f>
        <v>127</v>
      </c>
      <c r="F13" s="27">
        <v>0.5</v>
      </c>
      <c r="G13" s="28">
        <f t="shared" si="0"/>
        <v>0.873015873015873</v>
      </c>
      <c r="H13" s="29">
        <f t="shared" si="1"/>
        <v>0.4365079365079365</v>
      </c>
      <c r="I13" s="35">
        <f>C13/4</f>
        <v>124.8</v>
      </c>
      <c r="J13" s="36">
        <f t="shared" si="2"/>
        <v>62.891338582677164</v>
      </c>
      <c r="K13" s="36">
        <f t="shared" si="3"/>
        <v>1017.6282051282052</v>
      </c>
      <c r="L13" s="37">
        <f t="shared" si="12"/>
        <v>0.9826771653543307</v>
      </c>
      <c r="M13" s="27">
        <v>8</v>
      </c>
      <c r="N13" s="19">
        <f>M13/4</f>
        <v>2</v>
      </c>
      <c r="O13" s="19">
        <v>512</v>
      </c>
      <c r="P13" s="19">
        <f t="shared" si="4"/>
        <v>4096</v>
      </c>
      <c r="Q13" s="28">
        <f t="shared" si="5"/>
        <v>1025.6410256410259</v>
      </c>
      <c r="R13" s="29">
        <f t="shared" si="6"/>
        <v>8205.128205128207</v>
      </c>
      <c r="S13" s="30">
        <f t="shared" si="7"/>
        <v>0.12187499999999997</v>
      </c>
      <c r="T13" s="28">
        <f t="shared" si="8"/>
        <v>0.10639880952380949</v>
      </c>
      <c r="U13" s="29">
        <f t="shared" si="9"/>
        <v>62.399999999999984</v>
      </c>
      <c r="V13" s="12"/>
      <c r="W13" s="12"/>
      <c r="X13" s="12"/>
      <c r="Y13" s="11"/>
    </row>
    <row r="14" spans="2:25" ht="13.5">
      <c r="B14" s="64"/>
      <c r="C14" s="19">
        <f aca="true" t="shared" si="16" ref="C14:E15">C13</f>
        <v>499.2</v>
      </c>
      <c r="D14" s="19">
        <f t="shared" si="11"/>
        <v>499.2</v>
      </c>
      <c r="E14" s="20">
        <f t="shared" si="16"/>
        <v>127</v>
      </c>
      <c r="F14" s="27">
        <v>0.5</v>
      </c>
      <c r="G14" s="28">
        <f t="shared" si="0"/>
        <v>0.873015873015873</v>
      </c>
      <c r="H14" s="29">
        <f t="shared" si="1"/>
        <v>0.4365079365079365</v>
      </c>
      <c r="I14" s="38">
        <f>I13</f>
        <v>124.8</v>
      </c>
      <c r="J14" s="39">
        <f t="shared" si="2"/>
        <v>62.891338582677164</v>
      </c>
      <c r="K14" s="39">
        <f t="shared" si="3"/>
        <v>1017.6282051282052</v>
      </c>
      <c r="L14" s="40">
        <f t="shared" si="12"/>
        <v>0.9826771653543307</v>
      </c>
      <c r="M14" s="27">
        <f aca="true" t="shared" si="17" ref="M14:N16">M13</f>
        <v>8</v>
      </c>
      <c r="N14" s="19">
        <f t="shared" si="17"/>
        <v>2</v>
      </c>
      <c r="O14" s="19">
        <v>64</v>
      </c>
      <c r="P14" s="19">
        <f t="shared" si="4"/>
        <v>512</v>
      </c>
      <c r="Q14" s="28">
        <f t="shared" si="5"/>
        <v>128.20512820512823</v>
      </c>
      <c r="R14" s="29">
        <f t="shared" si="6"/>
        <v>1025.6410256410259</v>
      </c>
      <c r="S14" s="30">
        <f t="shared" si="7"/>
        <v>0.9749999999999998</v>
      </c>
      <c r="T14" s="28">
        <f t="shared" si="8"/>
        <v>0.8511904761904759</v>
      </c>
      <c r="U14" s="29">
        <f t="shared" si="9"/>
        <v>62.399999999999984</v>
      </c>
      <c r="V14" s="12"/>
      <c r="W14" s="12"/>
      <c r="X14" s="12"/>
      <c r="Y14" s="11"/>
    </row>
    <row r="15" spans="2:25" ht="13.5">
      <c r="B15" s="64"/>
      <c r="C15" s="19">
        <f t="shared" si="16"/>
        <v>499.2</v>
      </c>
      <c r="D15" s="19">
        <f t="shared" si="11"/>
        <v>499.2</v>
      </c>
      <c r="E15" s="20">
        <f t="shared" si="16"/>
        <v>127</v>
      </c>
      <c r="F15" s="27">
        <v>0.5</v>
      </c>
      <c r="G15" s="28">
        <f t="shared" si="0"/>
        <v>0.873015873015873</v>
      </c>
      <c r="H15" s="29">
        <f t="shared" si="1"/>
        <v>0.4365079365079365</v>
      </c>
      <c r="I15" s="38">
        <f>I14</f>
        <v>124.8</v>
      </c>
      <c r="J15" s="39">
        <f t="shared" si="2"/>
        <v>62.891338582677164</v>
      </c>
      <c r="K15" s="39">
        <f t="shared" si="3"/>
        <v>1017.6282051282052</v>
      </c>
      <c r="L15" s="40">
        <f t="shared" si="12"/>
        <v>0.9826771653543307</v>
      </c>
      <c r="M15" s="27">
        <f t="shared" si="17"/>
        <v>8</v>
      </c>
      <c r="N15" s="19">
        <f t="shared" si="17"/>
        <v>2</v>
      </c>
      <c r="O15" s="19">
        <v>8</v>
      </c>
      <c r="P15" s="19">
        <f t="shared" si="4"/>
        <v>64</v>
      </c>
      <c r="Q15" s="28">
        <f t="shared" si="5"/>
        <v>16.02564102564103</v>
      </c>
      <c r="R15" s="29">
        <f t="shared" si="6"/>
        <v>128.20512820512823</v>
      </c>
      <c r="S15" s="30">
        <f t="shared" si="7"/>
        <v>7.799999999999998</v>
      </c>
      <c r="T15" s="28">
        <f t="shared" si="8"/>
        <v>6.8095238095238075</v>
      </c>
      <c r="U15" s="29">
        <f t="shared" si="9"/>
        <v>62.399999999999984</v>
      </c>
      <c r="V15" s="12"/>
      <c r="W15" s="12"/>
      <c r="X15" s="12"/>
      <c r="Y15" s="11"/>
    </row>
    <row r="16" spans="2:25" ht="12.75" customHeight="1" thickBot="1">
      <c r="B16" s="55"/>
      <c r="C16" s="21">
        <f>C15</f>
        <v>499.2</v>
      </c>
      <c r="D16" s="21">
        <f t="shared" si="11"/>
        <v>499.2</v>
      </c>
      <c r="E16" s="22">
        <f>E15</f>
        <v>127</v>
      </c>
      <c r="F16" s="27">
        <v>0.5</v>
      </c>
      <c r="G16" s="28">
        <f t="shared" si="0"/>
        <v>0.873015873015873</v>
      </c>
      <c r="H16" s="29">
        <f t="shared" si="1"/>
        <v>0.4365079365079365</v>
      </c>
      <c r="I16" s="41">
        <f>I15</f>
        <v>124.8</v>
      </c>
      <c r="J16" s="42">
        <f t="shared" si="2"/>
        <v>62.891338582677164</v>
      </c>
      <c r="K16" s="42">
        <f t="shared" si="3"/>
        <v>1017.6282051282052</v>
      </c>
      <c r="L16" s="43">
        <f t="shared" si="12"/>
        <v>0.9826771653543307</v>
      </c>
      <c r="M16" s="27">
        <f t="shared" si="17"/>
        <v>8</v>
      </c>
      <c r="N16" s="19">
        <f t="shared" si="17"/>
        <v>2</v>
      </c>
      <c r="O16" s="19">
        <v>2</v>
      </c>
      <c r="P16" s="19">
        <f t="shared" si="4"/>
        <v>16</v>
      </c>
      <c r="Q16" s="28">
        <f t="shared" si="5"/>
        <v>4.006410256410257</v>
      </c>
      <c r="R16" s="29">
        <f t="shared" si="6"/>
        <v>32.05128205128206</v>
      </c>
      <c r="S16" s="30">
        <f t="shared" si="7"/>
        <v>31.199999999999992</v>
      </c>
      <c r="T16" s="28">
        <f t="shared" si="8"/>
        <v>27.23809523809523</v>
      </c>
      <c r="U16" s="29">
        <f t="shared" si="9"/>
        <v>62.399999999999984</v>
      </c>
      <c r="V16" s="12"/>
      <c r="W16" s="12"/>
      <c r="X16" s="12"/>
      <c r="Y16" s="11"/>
    </row>
    <row r="17" spans="2:25" ht="13.5">
      <c r="B17" s="83" t="s">
        <v>51</v>
      </c>
      <c r="C17" s="19">
        <f>C13</f>
        <v>499.2</v>
      </c>
      <c r="D17" s="57">
        <f>C5*8/3</f>
        <v>1331.2</v>
      </c>
      <c r="E17" s="20">
        <v>31</v>
      </c>
      <c r="F17" s="23">
        <v>0.5</v>
      </c>
      <c r="G17" s="24">
        <f>55/63</f>
        <v>0.873015873015873</v>
      </c>
      <c r="H17" s="25">
        <f t="shared" si="1"/>
        <v>0.4365079365079365</v>
      </c>
      <c r="I17" s="35">
        <f>C17/16</f>
        <v>31.2</v>
      </c>
      <c r="J17" s="36">
        <f t="shared" si="2"/>
        <v>16.10322580645161</v>
      </c>
      <c r="K17" s="36">
        <f>1000*E17/I17</f>
        <v>993.5897435897436</v>
      </c>
      <c r="L17" s="37">
        <f t="shared" si="12"/>
        <v>1.0064516129032257</v>
      </c>
      <c r="M17" s="23">
        <v>32</v>
      </c>
      <c r="N17" s="17">
        <f>M17/4</f>
        <v>8</v>
      </c>
      <c r="O17" s="17">
        <v>128</v>
      </c>
      <c r="P17" s="17">
        <f t="shared" si="4"/>
        <v>4096</v>
      </c>
      <c r="Q17" s="24">
        <f>1000*O17*(1/C17)</f>
        <v>256.41025641025647</v>
      </c>
      <c r="R17" s="25">
        <f>Q17*M17</f>
        <v>8205.128205128207</v>
      </c>
      <c r="S17" s="26">
        <f>1000/R17</f>
        <v>0.12187499999999997</v>
      </c>
      <c r="T17" s="24">
        <f>2000*H17/R17</f>
        <v>0.1063988095238095</v>
      </c>
      <c r="U17" s="25">
        <f t="shared" si="9"/>
        <v>15.599999999999996</v>
      </c>
      <c r="V17" s="12"/>
      <c r="W17" s="12"/>
      <c r="X17" s="12"/>
      <c r="Y17" s="11"/>
    </row>
    <row r="18" spans="2:25" ht="13.5">
      <c r="B18" s="84"/>
      <c r="C18" s="19">
        <f aca="true" t="shared" si="18" ref="C18:E19">C17</f>
        <v>499.2</v>
      </c>
      <c r="D18" s="19">
        <f t="shared" si="18"/>
        <v>1331.2</v>
      </c>
      <c r="E18" s="20">
        <f t="shared" si="18"/>
        <v>31</v>
      </c>
      <c r="F18" s="27">
        <v>0.5</v>
      </c>
      <c r="G18" s="28">
        <f>55/63</f>
        <v>0.873015873015873</v>
      </c>
      <c r="H18" s="29">
        <f t="shared" si="1"/>
        <v>0.4365079365079365</v>
      </c>
      <c r="I18" s="38">
        <f>I17</f>
        <v>31.2</v>
      </c>
      <c r="J18" s="39">
        <f t="shared" si="2"/>
        <v>16.10322580645161</v>
      </c>
      <c r="K18" s="39">
        <f t="shared" si="3"/>
        <v>993.5897435897436</v>
      </c>
      <c r="L18" s="40">
        <f t="shared" si="12"/>
        <v>1.0064516129032257</v>
      </c>
      <c r="M18" s="27">
        <f aca="true" t="shared" si="19" ref="M18:N20">M17</f>
        <v>32</v>
      </c>
      <c r="N18" s="19">
        <f t="shared" si="19"/>
        <v>8</v>
      </c>
      <c r="O18" s="19">
        <v>16</v>
      </c>
      <c r="P18" s="19">
        <f t="shared" si="4"/>
        <v>512</v>
      </c>
      <c r="Q18" s="28">
        <f t="shared" si="5"/>
        <v>32.05128205128206</v>
      </c>
      <c r="R18" s="29">
        <f t="shared" si="6"/>
        <v>1025.6410256410259</v>
      </c>
      <c r="S18" s="30">
        <f t="shared" si="7"/>
        <v>0.9749999999999998</v>
      </c>
      <c r="T18" s="28">
        <f t="shared" si="8"/>
        <v>0.8511904761904759</v>
      </c>
      <c r="U18" s="29">
        <f t="shared" si="9"/>
        <v>15.599999999999996</v>
      </c>
      <c r="V18" s="12"/>
      <c r="W18" s="12"/>
      <c r="X18" s="12"/>
      <c r="Y18" s="11"/>
    </row>
    <row r="19" spans="2:25" ht="13.5">
      <c r="B19" s="84"/>
      <c r="C19" s="19">
        <f t="shared" si="18"/>
        <v>499.2</v>
      </c>
      <c r="D19" s="19">
        <f t="shared" si="18"/>
        <v>1331.2</v>
      </c>
      <c r="E19" s="20">
        <f t="shared" si="18"/>
        <v>31</v>
      </c>
      <c r="F19" s="27">
        <f>F18</f>
        <v>0.5</v>
      </c>
      <c r="G19" s="28">
        <f>G18</f>
        <v>0.873015873015873</v>
      </c>
      <c r="H19" s="29">
        <f t="shared" si="1"/>
        <v>0.4365079365079365</v>
      </c>
      <c r="I19" s="38">
        <f>I18</f>
        <v>31.2</v>
      </c>
      <c r="J19" s="39">
        <f>J18</f>
        <v>16.10322580645161</v>
      </c>
      <c r="K19" s="39">
        <f>K18</f>
        <v>993.5897435897436</v>
      </c>
      <c r="L19" s="40">
        <f t="shared" si="12"/>
        <v>1.0064516129032257</v>
      </c>
      <c r="M19" s="27">
        <f t="shared" si="19"/>
        <v>32</v>
      </c>
      <c r="N19" s="19">
        <f t="shared" si="19"/>
        <v>8</v>
      </c>
      <c r="O19" s="19">
        <v>2</v>
      </c>
      <c r="P19" s="19">
        <f t="shared" si="4"/>
        <v>64</v>
      </c>
      <c r="Q19" s="28">
        <f t="shared" si="5"/>
        <v>4.006410256410257</v>
      </c>
      <c r="R19" s="29">
        <f t="shared" si="6"/>
        <v>128.20512820512823</v>
      </c>
      <c r="S19" s="30">
        <f t="shared" si="7"/>
        <v>7.799999999999998</v>
      </c>
      <c r="T19" s="28">
        <f t="shared" si="8"/>
        <v>6.8095238095238075</v>
      </c>
      <c r="U19" s="29">
        <f t="shared" si="9"/>
        <v>15.599999999999996</v>
      </c>
      <c r="V19" s="12"/>
      <c r="W19" s="12"/>
      <c r="X19" s="12"/>
      <c r="Y19" s="11"/>
    </row>
    <row r="20" spans="2:25" ht="14.25" thickBot="1">
      <c r="B20" s="85"/>
      <c r="C20" s="19">
        <f>C19</f>
        <v>499.2</v>
      </c>
      <c r="D20" s="19">
        <f>D19</f>
        <v>1331.2</v>
      </c>
      <c r="E20" s="20">
        <f>E19</f>
        <v>31</v>
      </c>
      <c r="F20" s="31">
        <v>1</v>
      </c>
      <c r="G20" s="32">
        <f>G19</f>
        <v>0.873015873015873</v>
      </c>
      <c r="H20" s="33">
        <f t="shared" si="1"/>
        <v>0.873015873015873</v>
      </c>
      <c r="I20" s="41">
        <f>I19</f>
        <v>31.2</v>
      </c>
      <c r="J20" s="42">
        <f>J19</f>
        <v>16.10322580645161</v>
      </c>
      <c r="K20" s="42">
        <f>K19</f>
        <v>993.5897435897436</v>
      </c>
      <c r="L20" s="43">
        <f t="shared" si="12"/>
        <v>1.0064516129032257</v>
      </c>
      <c r="M20" s="31">
        <f t="shared" si="19"/>
        <v>32</v>
      </c>
      <c r="N20" s="21">
        <f t="shared" si="19"/>
        <v>8</v>
      </c>
      <c r="O20" s="21">
        <v>1</v>
      </c>
      <c r="P20" s="21">
        <f t="shared" si="4"/>
        <v>32</v>
      </c>
      <c r="Q20" s="32">
        <f t="shared" si="5"/>
        <v>2.0032051282051286</v>
      </c>
      <c r="R20" s="33">
        <f t="shared" si="6"/>
        <v>64.10256410256412</v>
      </c>
      <c r="S20" s="34">
        <f t="shared" si="7"/>
        <v>15.599999999999996</v>
      </c>
      <c r="T20" s="32">
        <f t="shared" si="8"/>
        <v>27.23809523809523</v>
      </c>
      <c r="U20" s="33">
        <f>U19</f>
        <v>15.599999999999996</v>
      </c>
      <c r="V20" s="12"/>
      <c r="W20" s="12"/>
      <c r="X20" s="12"/>
      <c r="Y20" s="11"/>
    </row>
    <row r="21" spans="2:25" ht="13.5">
      <c r="B21" s="83" t="s">
        <v>51</v>
      </c>
      <c r="C21" s="17">
        <f>C5</f>
        <v>499.2</v>
      </c>
      <c r="D21" s="17">
        <f>C5*8/3</f>
        <v>1331.2</v>
      </c>
      <c r="E21" s="18">
        <v>127</v>
      </c>
      <c r="F21" s="27">
        <v>0.5</v>
      </c>
      <c r="G21" s="28">
        <f>55/63</f>
        <v>0.873015873015873</v>
      </c>
      <c r="H21" s="29">
        <f t="shared" si="1"/>
        <v>0.4365079365079365</v>
      </c>
      <c r="I21" s="35">
        <f>C21/4</f>
        <v>124.8</v>
      </c>
      <c r="J21" s="36">
        <f>I21*0.5*(E21+1)/E21</f>
        <v>62.891338582677164</v>
      </c>
      <c r="K21" s="36">
        <f>1000*E21/I21</f>
        <v>1017.6282051282052</v>
      </c>
      <c r="L21" s="37">
        <f t="shared" si="12"/>
        <v>0.9826771653543307</v>
      </c>
      <c r="M21" s="27">
        <v>8</v>
      </c>
      <c r="N21" s="19">
        <f>M21/4</f>
        <v>2</v>
      </c>
      <c r="O21" s="19">
        <v>512</v>
      </c>
      <c r="P21" s="19">
        <f>M21*O21</f>
        <v>4096</v>
      </c>
      <c r="Q21" s="28">
        <f>1000*O21*(1/C21)</f>
        <v>1025.6410256410259</v>
      </c>
      <c r="R21" s="29">
        <f>Q21*M21</f>
        <v>8205.128205128207</v>
      </c>
      <c r="S21" s="30">
        <f t="shared" si="7"/>
        <v>0.12187499999999997</v>
      </c>
      <c r="T21" s="28">
        <f t="shared" si="8"/>
        <v>0.10639880952380949</v>
      </c>
      <c r="U21" s="29">
        <f aca="true" t="shared" si="20" ref="U21:U36">1000*O21/R21</f>
        <v>62.399999999999984</v>
      </c>
      <c r="V21" s="12"/>
      <c r="W21" s="12"/>
      <c r="X21" s="12"/>
      <c r="Y21" s="11"/>
    </row>
    <row r="22" spans="2:25" ht="13.5">
      <c r="B22" s="84"/>
      <c r="C22" s="19">
        <f aca="true" t="shared" si="21" ref="C22:H24">C21</f>
        <v>499.2</v>
      </c>
      <c r="D22" s="19">
        <f t="shared" si="21"/>
        <v>1331.2</v>
      </c>
      <c r="E22" s="20">
        <v>127</v>
      </c>
      <c r="F22" s="27">
        <v>0.5</v>
      </c>
      <c r="G22" s="28">
        <f>55/63</f>
        <v>0.873015873015873</v>
      </c>
      <c r="H22" s="29">
        <f t="shared" si="1"/>
        <v>0.4365079365079365</v>
      </c>
      <c r="I22" s="38">
        <f>I21</f>
        <v>124.8</v>
      </c>
      <c r="J22" s="39">
        <f>I22*0.5*(E22+1)/E22</f>
        <v>62.891338582677164</v>
      </c>
      <c r="K22" s="39">
        <f>1000*E22/I22</f>
        <v>1017.6282051282052</v>
      </c>
      <c r="L22" s="40">
        <f t="shared" si="12"/>
        <v>0.9826771653543307</v>
      </c>
      <c r="M22" s="27">
        <f aca="true" t="shared" si="22" ref="M22:N24">M21</f>
        <v>8</v>
      </c>
      <c r="N22" s="19">
        <f t="shared" si="22"/>
        <v>2</v>
      </c>
      <c r="O22" s="19">
        <v>64</v>
      </c>
      <c r="P22" s="19">
        <f t="shared" si="4"/>
        <v>512</v>
      </c>
      <c r="Q22" s="28">
        <f t="shared" si="5"/>
        <v>128.20512820512823</v>
      </c>
      <c r="R22" s="29">
        <f t="shared" si="6"/>
        <v>1025.6410256410259</v>
      </c>
      <c r="S22" s="30">
        <f t="shared" si="7"/>
        <v>0.9749999999999998</v>
      </c>
      <c r="T22" s="28">
        <f t="shared" si="8"/>
        <v>0.8511904761904759</v>
      </c>
      <c r="U22" s="29">
        <f t="shared" si="20"/>
        <v>62.399999999999984</v>
      </c>
      <c r="V22" s="12"/>
      <c r="W22" s="12"/>
      <c r="X22" s="12"/>
      <c r="Y22" s="11"/>
    </row>
    <row r="23" spans="2:25" ht="13.5">
      <c r="B23" s="84"/>
      <c r="C23" s="19">
        <f t="shared" si="21"/>
        <v>499.2</v>
      </c>
      <c r="D23" s="19">
        <f t="shared" si="21"/>
        <v>1331.2</v>
      </c>
      <c r="E23" s="20">
        <f t="shared" si="21"/>
        <v>127</v>
      </c>
      <c r="F23" s="27">
        <f t="shared" si="21"/>
        <v>0.5</v>
      </c>
      <c r="G23" s="28">
        <f t="shared" si="21"/>
        <v>0.873015873015873</v>
      </c>
      <c r="H23" s="29">
        <f t="shared" si="21"/>
        <v>0.4365079365079365</v>
      </c>
      <c r="I23" s="38">
        <f>I22</f>
        <v>124.8</v>
      </c>
      <c r="J23" s="39">
        <f>J22</f>
        <v>62.891338582677164</v>
      </c>
      <c r="K23" s="39">
        <f>K22</f>
        <v>1017.6282051282052</v>
      </c>
      <c r="L23" s="40">
        <f t="shared" si="12"/>
        <v>0.9826771653543307</v>
      </c>
      <c r="M23" s="27">
        <f t="shared" si="22"/>
        <v>8</v>
      </c>
      <c r="N23" s="19">
        <f t="shared" si="22"/>
        <v>2</v>
      </c>
      <c r="O23" s="19">
        <v>8</v>
      </c>
      <c r="P23" s="19">
        <f t="shared" si="4"/>
        <v>64</v>
      </c>
      <c r="Q23" s="28">
        <f t="shared" si="5"/>
        <v>16.02564102564103</v>
      </c>
      <c r="R23" s="29">
        <f t="shared" si="6"/>
        <v>128.20512820512823</v>
      </c>
      <c r="S23" s="30">
        <f t="shared" si="7"/>
        <v>7.799999999999998</v>
      </c>
      <c r="T23" s="28">
        <f t="shared" si="8"/>
        <v>6.8095238095238075</v>
      </c>
      <c r="U23" s="29">
        <f t="shared" si="20"/>
        <v>62.399999999999984</v>
      </c>
      <c r="V23" s="12"/>
      <c r="W23" s="12"/>
      <c r="X23" s="12"/>
      <c r="Y23" s="11"/>
    </row>
    <row r="24" spans="2:25" ht="14.25" thickBot="1">
      <c r="B24" s="85"/>
      <c r="C24" s="21">
        <f t="shared" si="21"/>
        <v>499.2</v>
      </c>
      <c r="D24" s="19">
        <f t="shared" si="21"/>
        <v>1331.2</v>
      </c>
      <c r="E24" s="22">
        <f t="shared" si="21"/>
        <v>127</v>
      </c>
      <c r="F24" s="27">
        <f t="shared" si="21"/>
        <v>0.5</v>
      </c>
      <c r="G24" s="28">
        <f t="shared" si="21"/>
        <v>0.873015873015873</v>
      </c>
      <c r="H24" s="29">
        <f t="shared" si="21"/>
        <v>0.4365079365079365</v>
      </c>
      <c r="I24" s="41">
        <f>I23</f>
        <v>124.8</v>
      </c>
      <c r="J24" s="42">
        <f>J23</f>
        <v>62.891338582677164</v>
      </c>
      <c r="K24" s="42">
        <f>K23</f>
        <v>1017.6282051282052</v>
      </c>
      <c r="L24" s="43">
        <f t="shared" si="12"/>
        <v>0.9826771653543307</v>
      </c>
      <c r="M24" s="27">
        <f t="shared" si="22"/>
        <v>8</v>
      </c>
      <c r="N24" s="19">
        <f t="shared" si="22"/>
        <v>2</v>
      </c>
      <c r="O24" s="19">
        <v>2</v>
      </c>
      <c r="P24" s="19">
        <f t="shared" si="4"/>
        <v>16</v>
      </c>
      <c r="Q24" s="28">
        <f t="shared" si="5"/>
        <v>4.006410256410257</v>
      </c>
      <c r="R24" s="29">
        <f t="shared" si="6"/>
        <v>32.05128205128206</v>
      </c>
      <c r="S24" s="30">
        <f t="shared" si="7"/>
        <v>31.199999999999992</v>
      </c>
      <c r="T24" s="28">
        <f t="shared" si="8"/>
        <v>27.23809523809523</v>
      </c>
      <c r="U24" s="29">
        <f t="shared" si="20"/>
        <v>62.399999999999984</v>
      </c>
      <c r="V24" s="12"/>
      <c r="W24" s="12"/>
      <c r="X24" s="12"/>
      <c r="Y24" s="11"/>
    </row>
    <row r="25" spans="2:25" ht="13.5">
      <c r="B25" s="63">
        <v>7</v>
      </c>
      <c r="C25" s="17">
        <f>C9</f>
        <v>499.2</v>
      </c>
      <c r="D25" s="17">
        <f>C9*13/6</f>
        <v>1081.6</v>
      </c>
      <c r="E25" s="20">
        <v>31</v>
      </c>
      <c r="F25" s="23">
        <v>0.5</v>
      </c>
      <c r="G25" s="24">
        <f>55/63</f>
        <v>0.873015873015873</v>
      </c>
      <c r="H25" s="25">
        <f>F25*G25</f>
        <v>0.4365079365079365</v>
      </c>
      <c r="I25" s="35">
        <f>C25/16</f>
        <v>31.2</v>
      </c>
      <c r="J25" s="36">
        <f>I25*0.5*(E25+1)/E25</f>
        <v>16.10322580645161</v>
      </c>
      <c r="K25" s="36">
        <f>1000*E25/I25</f>
        <v>993.5897435897436</v>
      </c>
      <c r="L25" s="37">
        <f>1000/K25</f>
        <v>1.0064516129032257</v>
      </c>
      <c r="M25" s="23">
        <v>32</v>
      </c>
      <c r="N25" s="17">
        <f>M25/4</f>
        <v>8</v>
      </c>
      <c r="O25" s="17">
        <v>128</v>
      </c>
      <c r="P25" s="17">
        <f t="shared" si="4"/>
        <v>4096</v>
      </c>
      <c r="Q25" s="24">
        <f t="shared" si="5"/>
        <v>256.41025641025647</v>
      </c>
      <c r="R25" s="25">
        <f>Q25*M25</f>
        <v>8205.128205128207</v>
      </c>
      <c r="S25" s="26">
        <f>1000/R25</f>
        <v>0.12187499999999997</v>
      </c>
      <c r="T25" s="24">
        <f>S25*2*H25</f>
        <v>0.10639880952380949</v>
      </c>
      <c r="U25" s="25">
        <f t="shared" si="20"/>
        <v>15.599999999999996</v>
      </c>
      <c r="V25" s="12"/>
      <c r="W25" s="12"/>
      <c r="X25" s="12"/>
      <c r="Y25" s="11"/>
    </row>
    <row r="26" spans="2:25" ht="13.5">
      <c r="B26" s="84"/>
      <c r="C26" s="19">
        <f aca="true" t="shared" si="23" ref="C26:E27">C25</f>
        <v>499.2</v>
      </c>
      <c r="D26" s="19">
        <f t="shared" si="23"/>
        <v>1081.6</v>
      </c>
      <c r="E26" s="20">
        <f t="shared" si="23"/>
        <v>31</v>
      </c>
      <c r="F26" s="27">
        <v>0.5</v>
      </c>
      <c r="G26" s="28">
        <f>55/63</f>
        <v>0.873015873015873</v>
      </c>
      <c r="H26" s="29">
        <f>F26*G26</f>
        <v>0.4365079365079365</v>
      </c>
      <c r="I26" s="38">
        <f>I25</f>
        <v>31.2</v>
      </c>
      <c r="J26" s="39">
        <f>I26*0.5*(E26+1)/E26</f>
        <v>16.10322580645161</v>
      </c>
      <c r="K26" s="39">
        <f>1000*E26/I26</f>
        <v>993.5897435897436</v>
      </c>
      <c r="L26" s="40">
        <f t="shared" si="12"/>
        <v>1.0064516129032257</v>
      </c>
      <c r="M26" s="27">
        <f aca="true" t="shared" si="24" ref="M26:N28">M25</f>
        <v>32</v>
      </c>
      <c r="N26" s="19">
        <f t="shared" si="24"/>
        <v>8</v>
      </c>
      <c r="O26" s="19">
        <v>16</v>
      </c>
      <c r="P26" s="19">
        <f t="shared" si="4"/>
        <v>512</v>
      </c>
      <c r="Q26" s="28">
        <f t="shared" si="5"/>
        <v>32.05128205128206</v>
      </c>
      <c r="R26" s="29">
        <f t="shared" si="6"/>
        <v>1025.6410256410259</v>
      </c>
      <c r="S26" s="30">
        <f t="shared" si="7"/>
        <v>0.9749999999999998</v>
      </c>
      <c r="T26" s="28">
        <f t="shared" si="8"/>
        <v>0.8511904761904759</v>
      </c>
      <c r="U26" s="29">
        <f t="shared" si="20"/>
        <v>15.599999999999996</v>
      </c>
      <c r="V26" s="12"/>
      <c r="W26" s="12"/>
      <c r="X26" s="12"/>
      <c r="Y26" s="11"/>
    </row>
    <row r="27" spans="2:25" ht="13.5">
      <c r="B27" s="84"/>
      <c r="C27" s="19">
        <f t="shared" si="23"/>
        <v>499.2</v>
      </c>
      <c r="D27" s="19">
        <f t="shared" si="23"/>
        <v>1081.6</v>
      </c>
      <c r="E27" s="20">
        <f t="shared" si="23"/>
        <v>31</v>
      </c>
      <c r="F27" s="27">
        <f>F26</f>
        <v>0.5</v>
      </c>
      <c r="G27" s="28">
        <f>G26</f>
        <v>0.873015873015873</v>
      </c>
      <c r="H27" s="29">
        <f>F27*G27</f>
        <v>0.4365079365079365</v>
      </c>
      <c r="I27" s="38">
        <f>I26</f>
        <v>31.2</v>
      </c>
      <c r="J27" s="39">
        <f>J26</f>
        <v>16.10322580645161</v>
      </c>
      <c r="K27" s="39">
        <f>K26</f>
        <v>993.5897435897436</v>
      </c>
      <c r="L27" s="40">
        <f t="shared" si="12"/>
        <v>1.0064516129032257</v>
      </c>
      <c r="M27" s="27">
        <f t="shared" si="24"/>
        <v>32</v>
      </c>
      <c r="N27" s="19">
        <f t="shared" si="24"/>
        <v>8</v>
      </c>
      <c r="O27" s="19">
        <v>2</v>
      </c>
      <c r="P27" s="19">
        <f t="shared" si="4"/>
        <v>64</v>
      </c>
      <c r="Q27" s="28">
        <f t="shared" si="5"/>
        <v>4.006410256410257</v>
      </c>
      <c r="R27" s="29">
        <f t="shared" si="6"/>
        <v>128.20512820512823</v>
      </c>
      <c r="S27" s="30">
        <f t="shared" si="7"/>
        <v>7.799999999999998</v>
      </c>
      <c r="T27" s="28">
        <f t="shared" si="8"/>
        <v>6.8095238095238075</v>
      </c>
      <c r="U27" s="29">
        <f t="shared" si="20"/>
        <v>15.599999999999996</v>
      </c>
      <c r="V27" s="12"/>
      <c r="W27" s="12"/>
      <c r="X27" s="12"/>
      <c r="Y27" s="11"/>
    </row>
    <row r="28" spans="2:25" ht="14.25" thickBot="1">
      <c r="B28" s="84"/>
      <c r="C28" s="21">
        <f>C27</f>
        <v>499.2</v>
      </c>
      <c r="D28" s="19">
        <f>D27</f>
        <v>1081.6</v>
      </c>
      <c r="E28" s="20">
        <f>E27</f>
        <v>31</v>
      </c>
      <c r="F28" s="31">
        <f>F27</f>
        <v>0.5</v>
      </c>
      <c r="G28" s="32">
        <f>G27</f>
        <v>0.873015873015873</v>
      </c>
      <c r="H28" s="33">
        <f>F28*G28</f>
        <v>0.4365079365079365</v>
      </c>
      <c r="I28" s="41">
        <f>I27</f>
        <v>31.2</v>
      </c>
      <c r="J28" s="42">
        <f>J27</f>
        <v>16.10322580645161</v>
      </c>
      <c r="K28" s="42">
        <f>K27</f>
        <v>993.5897435897436</v>
      </c>
      <c r="L28" s="43">
        <f t="shared" si="12"/>
        <v>1.0064516129032257</v>
      </c>
      <c r="M28" s="31">
        <f t="shared" si="24"/>
        <v>32</v>
      </c>
      <c r="N28" s="21">
        <f t="shared" si="24"/>
        <v>8</v>
      </c>
      <c r="O28" s="21">
        <v>1</v>
      </c>
      <c r="P28" s="21">
        <f t="shared" si="4"/>
        <v>32</v>
      </c>
      <c r="Q28" s="28">
        <f t="shared" si="5"/>
        <v>2.0032051282051286</v>
      </c>
      <c r="R28" s="33">
        <f t="shared" si="6"/>
        <v>64.10256410256412</v>
      </c>
      <c r="S28" s="34">
        <f t="shared" si="7"/>
        <v>15.599999999999996</v>
      </c>
      <c r="T28" s="32">
        <f t="shared" si="8"/>
        <v>13.619047619047615</v>
      </c>
      <c r="U28" s="33">
        <f t="shared" si="20"/>
        <v>15.599999999999996</v>
      </c>
      <c r="V28" s="12"/>
      <c r="W28" s="12"/>
      <c r="X28" s="12"/>
      <c r="Y28" s="11"/>
    </row>
    <row r="29" spans="2:25" ht="13.5">
      <c r="B29" s="83">
        <v>7</v>
      </c>
      <c r="C29" s="17">
        <f>C13</f>
        <v>499.2</v>
      </c>
      <c r="D29" s="17">
        <f>C9*13/6</f>
        <v>1081.6</v>
      </c>
      <c r="E29" s="18">
        <v>127</v>
      </c>
      <c r="F29" s="27">
        <v>0.5</v>
      </c>
      <c r="G29" s="28">
        <f aca="true" t="shared" si="25" ref="G29:G34">55/63</f>
        <v>0.873015873015873</v>
      </c>
      <c r="H29" s="29">
        <f aca="true" t="shared" si="26" ref="H29:H35">F29*G29</f>
        <v>0.4365079365079365</v>
      </c>
      <c r="I29" s="35">
        <f>C29/4</f>
        <v>124.8</v>
      </c>
      <c r="J29" s="36">
        <f aca="true" t="shared" si="27" ref="J29:J34">I29*0.5*(E29+1)/E29</f>
        <v>62.891338582677164</v>
      </c>
      <c r="K29" s="36">
        <f aca="true" t="shared" si="28" ref="K29:K34">1000*E29/I29</f>
        <v>1017.6282051282052</v>
      </c>
      <c r="L29" s="37">
        <f t="shared" si="12"/>
        <v>0.9826771653543307</v>
      </c>
      <c r="M29" s="27">
        <v>8</v>
      </c>
      <c r="N29" s="19">
        <f>M29/4</f>
        <v>2</v>
      </c>
      <c r="O29" s="19">
        <v>512</v>
      </c>
      <c r="P29" s="19">
        <f>M29*O29</f>
        <v>4096</v>
      </c>
      <c r="Q29" s="24">
        <f t="shared" si="5"/>
        <v>1025.6410256410259</v>
      </c>
      <c r="R29" s="29">
        <f>Q29*M29</f>
        <v>8205.128205128207</v>
      </c>
      <c r="S29" s="30">
        <f t="shared" si="7"/>
        <v>0.12187499999999997</v>
      </c>
      <c r="T29" s="28">
        <f>S29*2*H29</f>
        <v>0.10639880952380949</v>
      </c>
      <c r="U29" s="29">
        <f t="shared" si="20"/>
        <v>62.399999999999984</v>
      </c>
      <c r="V29" s="12"/>
      <c r="W29" s="12"/>
      <c r="X29" s="12"/>
      <c r="Y29" s="11"/>
    </row>
    <row r="30" spans="2:25" ht="13.5">
      <c r="B30" s="84"/>
      <c r="C30" s="19">
        <f aca="true" t="shared" si="29" ref="C30:E31">C29</f>
        <v>499.2</v>
      </c>
      <c r="D30" s="19">
        <f t="shared" si="29"/>
        <v>1081.6</v>
      </c>
      <c r="E30" s="20">
        <f t="shared" si="29"/>
        <v>127</v>
      </c>
      <c r="F30" s="27">
        <v>0.5</v>
      </c>
      <c r="G30" s="28">
        <f t="shared" si="25"/>
        <v>0.873015873015873</v>
      </c>
      <c r="H30" s="29">
        <f t="shared" si="26"/>
        <v>0.4365079365079365</v>
      </c>
      <c r="I30" s="38">
        <f>I29</f>
        <v>124.8</v>
      </c>
      <c r="J30" s="39">
        <f t="shared" si="27"/>
        <v>62.891338582677164</v>
      </c>
      <c r="K30" s="39">
        <f t="shared" si="28"/>
        <v>1017.6282051282052</v>
      </c>
      <c r="L30" s="40">
        <f t="shared" si="12"/>
        <v>0.9826771653543307</v>
      </c>
      <c r="M30" s="27">
        <f aca="true" t="shared" si="30" ref="M30:N32">M29</f>
        <v>8</v>
      </c>
      <c r="N30" s="19">
        <f t="shared" si="30"/>
        <v>2</v>
      </c>
      <c r="O30" s="19">
        <v>64</v>
      </c>
      <c r="P30" s="19">
        <f t="shared" si="4"/>
        <v>512</v>
      </c>
      <c r="Q30" s="28">
        <f t="shared" si="5"/>
        <v>128.20512820512823</v>
      </c>
      <c r="R30" s="29">
        <f t="shared" si="6"/>
        <v>1025.6410256410259</v>
      </c>
      <c r="S30" s="30">
        <f t="shared" si="7"/>
        <v>0.9749999999999998</v>
      </c>
      <c r="T30" s="28">
        <f t="shared" si="8"/>
        <v>0.8511904761904759</v>
      </c>
      <c r="U30" s="29">
        <f t="shared" si="20"/>
        <v>62.399999999999984</v>
      </c>
      <c r="V30" s="12"/>
      <c r="W30" s="12"/>
      <c r="X30" s="12"/>
      <c r="Y30" s="11"/>
    </row>
    <row r="31" spans="2:25" ht="13.5">
      <c r="B31" s="84"/>
      <c r="C31" s="19">
        <f t="shared" si="29"/>
        <v>499.2</v>
      </c>
      <c r="D31" s="19">
        <f t="shared" si="29"/>
        <v>1081.6</v>
      </c>
      <c r="E31" s="20">
        <f t="shared" si="29"/>
        <v>127</v>
      </c>
      <c r="F31" s="27">
        <v>0.5</v>
      </c>
      <c r="G31" s="28">
        <f t="shared" si="25"/>
        <v>0.873015873015873</v>
      </c>
      <c r="H31" s="29">
        <f t="shared" si="26"/>
        <v>0.4365079365079365</v>
      </c>
      <c r="I31" s="38">
        <f>I30</f>
        <v>124.8</v>
      </c>
      <c r="J31" s="39">
        <f t="shared" si="27"/>
        <v>62.891338582677164</v>
      </c>
      <c r="K31" s="39">
        <f t="shared" si="28"/>
        <v>1017.6282051282052</v>
      </c>
      <c r="L31" s="40">
        <f t="shared" si="12"/>
        <v>0.9826771653543307</v>
      </c>
      <c r="M31" s="27">
        <f t="shared" si="30"/>
        <v>8</v>
      </c>
      <c r="N31" s="19">
        <f t="shared" si="30"/>
        <v>2</v>
      </c>
      <c r="O31" s="19">
        <v>8</v>
      </c>
      <c r="P31" s="19">
        <f t="shared" si="4"/>
        <v>64</v>
      </c>
      <c r="Q31" s="28">
        <f t="shared" si="5"/>
        <v>16.02564102564103</v>
      </c>
      <c r="R31" s="29">
        <f t="shared" si="6"/>
        <v>128.20512820512823</v>
      </c>
      <c r="S31" s="30">
        <f t="shared" si="7"/>
        <v>7.799999999999998</v>
      </c>
      <c r="T31" s="28">
        <f t="shared" si="8"/>
        <v>6.8095238095238075</v>
      </c>
      <c r="U31" s="29">
        <f t="shared" si="20"/>
        <v>62.399999999999984</v>
      </c>
      <c r="V31" s="12"/>
      <c r="W31" s="12"/>
      <c r="X31" s="12"/>
      <c r="Y31" s="11"/>
    </row>
    <row r="32" spans="2:25" ht="14.25" thickBot="1">
      <c r="B32" s="85"/>
      <c r="C32" s="21">
        <f>C31</f>
        <v>499.2</v>
      </c>
      <c r="D32" s="21">
        <f>D31</f>
        <v>1081.6</v>
      </c>
      <c r="E32" s="22">
        <f>E31</f>
        <v>127</v>
      </c>
      <c r="F32" s="27">
        <v>0.5</v>
      </c>
      <c r="G32" s="28">
        <f t="shared" si="25"/>
        <v>0.873015873015873</v>
      </c>
      <c r="H32" s="29">
        <f>F32*G32</f>
        <v>0.4365079365079365</v>
      </c>
      <c r="I32" s="41">
        <f>I31</f>
        <v>124.8</v>
      </c>
      <c r="J32" s="42">
        <f>I32*0.5*(E32+1)/E32</f>
        <v>62.891338582677164</v>
      </c>
      <c r="K32" s="42">
        <f>1000*E32/I32</f>
        <v>1017.6282051282052</v>
      </c>
      <c r="L32" s="43">
        <f t="shared" si="12"/>
        <v>0.9826771653543307</v>
      </c>
      <c r="M32" s="27">
        <f t="shared" si="30"/>
        <v>8</v>
      </c>
      <c r="N32" s="19">
        <f t="shared" si="30"/>
        <v>2</v>
      </c>
      <c r="O32" s="19">
        <v>2</v>
      </c>
      <c r="P32" s="19">
        <f t="shared" si="4"/>
        <v>16</v>
      </c>
      <c r="Q32" s="28">
        <f t="shared" si="5"/>
        <v>4.006410256410257</v>
      </c>
      <c r="R32" s="29">
        <f t="shared" si="6"/>
        <v>32.05128205128206</v>
      </c>
      <c r="S32" s="30">
        <f t="shared" si="7"/>
        <v>31.199999999999992</v>
      </c>
      <c r="T32" s="28">
        <f t="shared" si="8"/>
        <v>27.23809523809523</v>
      </c>
      <c r="U32" s="29">
        <f t="shared" si="20"/>
        <v>62.399999999999984</v>
      </c>
      <c r="V32" s="12"/>
      <c r="W32" s="12"/>
      <c r="X32" s="12"/>
      <c r="Y32" s="11"/>
    </row>
    <row r="33" spans="2:25" ht="13.5">
      <c r="B33" s="64">
        <v>15</v>
      </c>
      <c r="C33" s="17">
        <f>C17</f>
        <v>499.2</v>
      </c>
      <c r="D33" s="28">
        <f>C9*19/7</f>
        <v>1354.9714285714285</v>
      </c>
      <c r="E33" s="20">
        <v>31</v>
      </c>
      <c r="F33" s="23">
        <v>0.5</v>
      </c>
      <c r="G33" s="24">
        <f t="shared" si="25"/>
        <v>0.873015873015873</v>
      </c>
      <c r="H33" s="25">
        <f t="shared" si="26"/>
        <v>0.4365079365079365</v>
      </c>
      <c r="I33" s="35">
        <f>C33/16</f>
        <v>31.2</v>
      </c>
      <c r="J33" s="36">
        <f t="shared" si="27"/>
        <v>16.10322580645161</v>
      </c>
      <c r="K33" s="36">
        <f t="shared" si="28"/>
        <v>993.5897435897436</v>
      </c>
      <c r="L33" s="37">
        <f t="shared" si="12"/>
        <v>1.0064516129032257</v>
      </c>
      <c r="M33" s="23">
        <v>32</v>
      </c>
      <c r="N33" s="17">
        <f>M33/4</f>
        <v>8</v>
      </c>
      <c r="O33" s="17">
        <v>128</v>
      </c>
      <c r="P33" s="17">
        <f t="shared" si="4"/>
        <v>4096</v>
      </c>
      <c r="Q33" s="24">
        <f t="shared" si="5"/>
        <v>256.41025641025647</v>
      </c>
      <c r="R33" s="25">
        <f t="shared" si="6"/>
        <v>8205.128205128207</v>
      </c>
      <c r="S33" s="26">
        <f t="shared" si="7"/>
        <v>0.12187499999999997</v>
      </c>
      <c r="T33" s="24">
        <f t="shared" si="8"/>
        <v>0.10639880952380949</v>
      </c>
      <c r="U33" s="25">
        <f t="shared" si="20"/>
        <v>15.599999999999996</v>
      </c>
      <c r="V33" s="12"/>
      <c r="W33" s="12"/>
      <c r="X33" s="12"/>
      <c r="Y33" s="11"/>
    </row>
    <row r="34" spans="2:25" ht="13.5">
      <c r="B34" s="107"/>
      <c r="C34" s="19">
        <f aca="true" t="shared" si="31" ref="C34:E36">C33</f>
        <v>499.2</v>
      </c>
      <c r="D34" s="28">
        <f t="shared" si="31"/>
        <v>1354.9714285714285</v>
      </c>
      <c r="E34" s="20">
        <f t="shared" si="31"/>
        <v>31</v>
      </c>
      <c r="F34" s="27">
        <v>0.5</v>
      </c>
      <c r="G34" s="28">
        <f t="shared" si="25"/>
        <v>0.873015873015873</v>
      </c>
      <c r="H34" s="29">
        <f t="shared" si="26"/>
        <v>0.4365079365079365</v>
      </c>
      <c r="I34" s="38">
        <f>I33</f>
        <v>31.2</v>
      </c>
      <c r="J34" s="39">
        <f t="shared" si="27"/>
        <v>16.10322580645161</v>
      </c>
      <c r="K34" s="39">
        <f t="shared" si="28"/>
        <v>993.5897435897436</v>
      </c>
      <c r="L34" s="40">
        <f t="shared" si="12"/>
        <v>1.0064516129032257</v>
      </c>
      <c r="M34" s="27">
        <f aca="true" t="shared" si="32" ref="M34:N36">M33</f>
        <v>32</v>
      </c>
      <c r="N34" s="19">
        <f t="shared" si="32"/>
        <v>8</v>
      </c>
      <c r="O34" s="19">
        <v>16</v>
      </c>
      <c r="P34" s="19">
        <f t="shared" si="4"/>
        <v>512</v>
      </c>
      <c r="Q34" s="28">
        <f t="shared" si="5"/>
        <v>32.05128205128206</v>
      </c>
      <c r="R34" s="29">
        <f t="shared" si="6"/>
        <v>1025.6410256410259</v>
      </c>
      <c r="S34" s="30">
        <f t="shared" si="7"/>
        <v>0.9749999999999998</v>
      </c>
      <c r="T34" s="28">
        <f t="shared" si="8"/>
        <v>0.8511904761904759</v>
      </c>
      <c r="U34" s="29">
        <f t="shared" si="20"/>
        <v>15.599999999999996</v>
      </c>
      <c r="V34" s="12"/>
      <c r="W34" s="12"/>
      <c r="X34" s="12"/>
      <c r="Y34" s="11"/>
    </row>
    <row r="35" spans="2:25" ht="13.5">
      <c r="B35" s="107"/>
      <c r="C35" s="19">
        <f t="shared" si="31"/>
        <v>499.2</v>
      </c>
      <c r="D35" s="28">
        <f t="shared" si="31"/>
        <v>1354.9714285714285</v>
      </c>
      <c r="E35" s="20">
        <f t="shared" si="31"/>
        <v>31</v>
      </c>
      <c r="F35" s="27">
        <f>F34</f>
        <v>0.5</v>
      </c>
      <c r="G35" s="28">
        <f>G34</f>
        <v>0.873015873015873</v>
      </c>
      <c r="H35" s="29">
        <f t="shared" si="26"/>
        <v>0.4365079365079365</v>
      </c>
      <c r="I35" s="38">
        <f>I34</f>
        <v>31.2</v>
      </c>
      <c r="J35" s="39">
        <f>J34</f>
        <v>16.10322580645161</v>
      </c>
      <c r="K35" s="39">
        <f>K34</f>
        <v>993.5897435897436</v>
      </c>
      <c r="L35" s="40">
        <f t="shared" si="12"/>
        <v>1.0064516129032257</v>
      </c>
      <c r="M35" s="27">
        <f t="shared" si="32"/>
        <v>32</v>
      </c>
      <c r="N35" s="19">
        <f t="shared" si="32"/>
        <v>8</v>
      </c>
      <c r="O35" s="19">
        <v>2</v>
      </c>
      <c r="P35" s="19">
        <f t="shared" si="4"/>
        <v>64</v>
      </c>
      <c r="Q35" s="28">
        <f t="shared" si="5"/>
        <v>4.006410256410257</v>
      </c>
      <c r="R35" s="29">
        <f t="shared" si="6"/>
        <v>128.20512820512823</v>
      </c>
      <c r="S35" s="30">
        <f t="shared" si="7"/>
        <v>7.799999999999998</v>
      </c>
      <c r="T35" s="28">
        <f t="shared" si="8"/>
        <v>6.8095238095238075</v>
      </c>
      <c r="U35" s="29">
        <f t="shared" si="20"/>
        <v>15.599999999999996</v>
      </c>
      <c r="V35" s="12"/>
      <c r="W35" s="12"/>
      <c r="X35" s="12"/>
      <c r="Y35" s="11"/>
    </row>
    <row r="36" spans="2:25" ht="14.25" thickBot="1">
      <c r="B36" s="107"/>
      <c r="C36" s="21">
        <f t="shared" si="31"/>
        <v>499.2</v>
      </c>
      <c r="D36" s="28">
        <f t="shared" si="31"/>
        <v>1354.9714285714285</v>
      </c>
      <c r="E36" s="20">
        <f t="shared" si="31"/>
        <v>31</v>
      </c>
      <c r="F36" s="31">
        <f>F35</f>
        <v>0.5</v>
      </c>
      <c r="G36" s="32">
        <f>G35</f>
        <v>0.873015873015873</v>
      </c>
      <c r="H36" s="33">
        <f>F36*G36</f>
        <v>0.4365079365079365</v>
      </c>
      <c r="I36" s="41">
        <f>I35</f>
        <v>31.2</v>
      </c>
      <c r="J36" s="42">
        <f>J35</f>
        <v>16.10322580645161</v>
      </c>
      <c r="K36" s="42">
        <f>K35</f>
        <v>993.5897435897436</v>
      </c>
      <c r="L36" s="43">
        <f t="shared" si="12"/>
        <v>1.0064516129032257</v>
      </c>
      <c r="M36" s="31">
        <f t="shared" si="32"/>
        <v>32</v>
      </c>
      <c r="N36" s="21">
        <f t="shared" si="32"/>
        <v>8</v>
      </c>
      <c r="O36" s="21">
        <v>1</v>
      </c>
      <c r="P36" s="21">
        <f t="shared" si="4"/>
        <v>32</v>
      </c>
      <c r="Q36" s="28">
        <f t="shared" si="5"/>
        <v>2.0032051282051286</v>
      </c>
      <c r="R36" s="33">
        <f t="shared" si="6"/>
        <v>64.10256410256412</v>
      </c>
      <c r="S36" s="34">
        <f t="shared" si="7"/>
        <v>15.599999999999996</v>
      </c>
      <c r="T36" s="32">
        <f t="shared" si="8"/>
        <v>13.619047619047615</v>
      </c>
      <c r="U36" s="33">
        <f t="shared" si="20"/>
        <v>15.599999999999996</v>
      </c>
      <c r="V36" s="12"/>
      <c r="W36" s="12"/>
      <c r="X36" s="12"/>
      <c r="Y36" s="11"/>
    </row>
    <row r="37" spans="2:25" ht="13.5">
      <c r="B37" s="106">
        <v>15</v>
      </c>
      <c r="C37" s="17">
        <f>C21</f>
        <v>499.2</v>
      </c>
      <c r="D37" s="24">
        <f>C9*19/7</f>
        <v>1354.9714285714285</v>
      </c>
      <c r="E37" s="18">
        <v>127</v>
      </c>
      <c r="F37" s="27">
        <v>0.5</v>
      </c>
      <c r="G37" s="28">
        <f>55/63</f>
        <v>0.873015873015873</v>
      </c>
      <c r="H37" s="29">
        <f>F37*G37</f>
        <v>0.4365079365079365</v>
      </c>
      <c r="I37" s="35">
        <f>C37/4</f>
        <v>124.8</v>
      </c>
      <c r="J37" s="36">
        <f>I37*0.5*(E37+1)/E37</f>
        <v>62.891338582677164</v>
      </c>
      <c r="K37" s="36">
        <f>1000*E37/I37</f>
        <v>1017.6282051282052</v>
      </c>
      <c r="L37" s="37">
        <f t="shared" si="12"/>
        <v>0.9826771653543307</v>
      </c>
      <c r="M37" s="27">
        <v>8</v>
      </c>
      <c r="N37" s="19">
        <f>M37/4</f>
        <v>2</v>
      </c>
      <c r="O37" s="19">
        <v>512</v>
      </c>
      <c r="P37" s="19">
        <f t="shared" si="4"/>
        <v>4096</v>
      </c>
      <c r="Q37" s="24">
        <f t="shared" si="5"/>
        <v>1025.6410256410259</v>
      </c>
      <c r="R37" s="29">
        <f t="shared" si="6"/>
        <v>8205.128205128207</v>
      </c>
      <c r="S37" s="30">
        <f t="shared" si="7"/>
        <v>0.12187499999999997</v>
      </c>
      <c r="T37" s="28">
        <f t="shared" si="8"/>
        <v>0.10639880952380949</v>
      </c>
      <c r="U37" s="29">
        <f>1000*O37/R37</f>
        <v>62.399999999999984</v>
      </c>
      <c r="V37" s="12"/>
      <c r="W37" s="12"/>
      <c r="X37" s="12"/>
      <c r="Y37" s="11"/>
    </row>
    <row r="38" spans="2:25" ht="13.5">
      <c r="B38" s="107"/>
      <c r="C38" s="19">
        <f aca="true" t="shared" si="33" ref="C38:H40">C37</f>
        <v>499.2</v>
      </c>
      <c r="D38" s="28">
        <f t="shared" si="33"/>
        <v>1354.9714285714285</v>
      </c>
      <c r="E38" s="20">
        <f t="shared" si="33"/>
        <v>127</v>
      </c>
      <c r="F38" s="27">
        <v>0.5</v>
      </c>
      <c r="G38" s="28">
        <f>55/63</f>
        <v>0.873015873015873</v>
      </c>
      <c r="H38" s="29">
        <f>F38*G38</f>
        <v>0.4365079365079365</v>
      </c>
      <c r="I38" s="38">
        <f>I37</f>
        <v>124.8</v>
      </c>
      <c r="J38" s="39">
        <f>I38*0.5*(E38+1)/E38</f>
        <v>62.891338582677164</v>
      </c>
      <c r="K38" s="39">
        <f>1000*E38/I38</f>
        <v>1017.6282051282052</v>
      </c>
      <c r="L38" s="40">
        <f t="shared" si="12"/>
        <v>0.9826771653543307</v>
      </c>
      <c r="M38" s="27">
        <f aca="true" t="shared" si="34" ref="M38:N40">M37</f>
        <v>8</v>
      </c>
      <c r="N38" s="19">
        <f t="shared" si="34"/>
        <v>2</v>
      </c>
      <c r="O38" s="19">
        <v>64</v>
      </c>
      <c r="P38" s="19">
        <f t="shared" si="4"/>
        <v>512</v>
      </c>
      <c r="Q38" s="28">
        <f t="shared" si="5"/>
        <v>128.20512820512823</v>
      </c>
      <c r="R38" s="29">
        <f t="shared" si="6"/>
        <v>1025.6410256410259</v>
      </c>
      <c r="S38" s="30">
        <f t="shared" si="7"/>
        <v>0.9749999999999998</v>
      </c>
      <c r="T38" s="28">
        <f t="shared" si="8"/>
        <v>0.8511904761904759</v>
      </c>
      <c r="U38" s="29">
        <f>1000*O38/R38</f>
        <v>62.399999999999984</v>
      </c>
      <c r="V38" s="12"/>
      <c r="W38" s="12"/>
      <c r="X38" s="12"/>
      <c r="Y38" s="11"/>
    </row>
    <row r="39" spans="2:25" ht="13.5">
      <c r="B39" s="107"/>
      <c r="C39" s="19">
        <f t="shared" si="33"/>
        <v>499.2</v>
      </c>
      <c r="D39" s="28">
        <f t="shared" si="33"/>
        <v>1354.9714285714285</v>
      </c>
      <c r="E39" s="20">
        <f t="shared" si="33"/>
        <v>127</v>
      </c>
      <c r="F39" s="27">
        <f t="shared" si="33"/>
        <v>0.5</v>
      </c>
      <c r="G39" s="28">
        <f t="shared" si="33"/>
        <v>0.873015873015873</v>
      </c>
      <c r="H39" s="29">
        <f t="shared" si="33"/>
        <v>0.4365079365079365</v>
      </c>
      <c r="I39" s="38">
        <f>I38</f>
        <v>124.8</v>
      </c>
      <c r="J39" s="39">
        <f>I39*0.5*(E39+1)/E39</f>
        <v>62.891338582677164</v>
      </c>
      <c r="K39" s="39">
        <f>1000*E39/I39</f>
        <v>1017.6282051282052</v>
      </c>
      <c r="L39" s="40">
        <f t="shared" si="12"/>
        <v>0.9826771653543307</v>
      </c>
      <c r="M39" s="27">
        <f t="shared" si="34"/>
        <v>8</v>
      </c>
      <c r="N39" s="19">
        <f t="shared" si="34"/>
        <v>2</v>
      </c>
      <c r="O39" s="19">
        <v>8</v>
      </c>
      <c r="P39" s="19">
        <f t="shared" si="4"/>
        <v>64</v>
      </c>
      <c r="Q39" s="28">
        <f t="shared" si="5"/>
        <v>16.02564102564103</v>
      </c>
      <c r="R39" s="29">
        <f t="shared" si="6"/>
        <v>128.20512820512823</v>
      </c>
      <c r="S39" s="30">
        <f t="shared" si="7"/>
        <v>7.799999999999998</v>
      </c>
      <c r="T39" s="28">
        <f t="shared" si="8"/>
        <v>6.8095238095238075</v>
      </c>
      <c r="U39" s="29">
        <f>1000*O39/R39</f>
        <v>62.399999999999984</v>
      </c>
      <c r="V39" s="12"/>
      <c r="W39" s="12"/>
      <c r="X39" s="12"/>
      <c r="Y39" s="11"/>
    </row>
    <row r="40" spans="2:25" ht="14.25" thickBot="1">
      <c r="B40" s="108"/>
      <c r="C40" s="21">
        <f>C39</f>
        <v>499.2</v>
      </c>
      <c r="D40" s="32">
        <f>D39</f>
        <v>1354.9714285714285</v>
      </c>
      <c r="E40" s="22">
        <f>E39</f>
        <v>127</v>
      </c>
      <c r="F40" s="31">
        <f t="shared" si="33"/>
        <v>0.5</v>
      </c>
      <c r="G40" s="32">
        <f t="shared" si="33"/>
        <v>0.873015873015873</v>
      </c>
      <c r="H40" s="33">
        <f t="shared" si="33"/>
        <v>0.4365079365079365</v>
      </c>
      <c r="I40" s="41">
        <f>I39</f>
        <v>124.8</v>
      </c>
      <c r="J40" s="42">
        <f>I40*0.5*(E40+1)/E40</f>
        <v>62.891338582677164</v>
      </c>
      <c r="K40" s="42">
        <f>1000*E40/I40</f>
        <v>1017.6282051282052</v>
      </c>
      <c r="L40" s="43">
        <f t="shared" si="12"/>
        <v>0.9826771653543307</v>
      </c>
      <c r="M40" s="31">
        <f t="shared" si="34"/>
        <v>8</v>
      </c>
      <c r="N40" s="21">
        <f t="shared" si="34"/>
        <v>2</v>
      </c>
      <c r="O40" s="21">
        <v>2</v>
      </c>
      <c r="P40" s="21">
        <f t="shared" si="4"/>
        <v>16</v>
      </c>
      <c r="Q40" s="28">
        <f t="shared" si="5"/>
        <v>4.006410256410257</v>
      </c>
      <c r="R40" s="33">
        <f t="shared" si="6"/>
        <v>32.05128205128206</v>
      </c>
      <c r="S40" s="34">
        <f t="shared" si="7"/>
        <v>31.199999999999992</v>
      </c>
      <c r="T40" s="32">
        <f t="shared" si="8"/>
        <v>27.23809523809523</v>
      </c>
      <c r="U40" s="33">
        <f>1000*O40/R40</f>
        <v>62.399999999999984</v>
      </c>
      <c r="V40" s="12"/>
      <c r="W40" s="12"/>
      <c r="X40" s="12"/>
      <c r="Y40" s="11"/>
    </row>
    <row r="41" spans="3:25" ht="12.75">
      <c r="C41" s="15"/>
      <c r="D41" s="15"/>
      <c r="E41" s="15"/>
      <c r="F41" s="15"/>
      <c r="G41" s="15"/>
      <c r="H41" s="15"/>
      <c r="I41" s="15"/>
      <c r="J41" s="15"/>
      <c r="K41" s="15"/>
      <c r="L41" s="15"/>
      <c r="M41" s="15"/>
      <c r="N41" s="15"/>
      <c r="O41" s="15"/>
      <c r="P41" s="15"/>
      <c r="Q41" s="24"/>
      <c r="R41" s="15"/>
      <c r="S41" s="15"/>
      <c r="T41" s="15"/>
      <c r="U41" s="15"/>
      <c r="V41" s="3"/>
      <c r="W41" s="3"/>
      <c r="X41" s="3"/>
      <c r="Y41" s="3"/>
    </row>
    <row r="42" spans="3:25" ht="12.75">
      <c r="C42" s="15"/>
      <c r="D42" s="15"/>
      <c r="E42" s="15"/>
      <c r="F42" s="15"/>
      <c r="G42" s="15"/>
      <c r="H42" s="15"/>
      <c r="I42" s="15"/>
      <c r="J42" s="15"/>
      <c r="K42" s="15"/>
      <c r="L42" s="15"/>
      <c r="M42" s="15"/>
      <c r="N42" s="15"/>
      <c r="O42" s="15"/>
      <c r="P42" s="15"/>
      <c r="Q42" s="15"/>
      <c r="R42" s="15"/>
      <c r="S42" s="15"/>
      <c r="T42" s="15"/>
      <c r="U42" s="15"/>
      <c r="V42" s="3"/>
      <c r="W42" s="3"/>
      <c r="X42" s="3"/>
      <c r="Y42" s="3"/>
    </row>
    <row r="43" spans="3:21" ht="12.75">
      <c r="C43" s="15"/>
      <c r="D43" s="15"/>
      <c r="E43" s="15"/>
      <c r="F43" s="15"/>
      <c r="G43" s="15"/>
      <c r="H43" s="15"/>
      <c r="I43" s="15"/>
      <c r="J43" s="15"/>
      <c r="K43" s="15"/>
      <c r="L43" s="15"/>
      <c r="M43" s="15"/>
      <c r="N43" s="15"/>
      <c r="O43" s="15"/>
      <c r="P43" s="15"/>
      <c r="Q43" s="15"/>
      <c r="R43" s="15"/>
      <c r="S43" s="15"/>
      <c r="T43" s="15"/>
      <c r="U43" s="15"/>
    </row>
    <row r="44" spans="2:25" ht="12.75">
      <c r="B44" s="4"/>
      <c r="C44" s="16"/>
      <c r="D44" s="16"/>
      <c r="E44" s="16"/>
      <c r="F44" s="16"/>
      <c r="G44" s="16"/>
      <c r="H44" s="16"/>
      <c r="I44" s="16"/>
      <c r="J44" s="16"/>
      <c r="K44" s="16"/>
      <c r="L44" s="16"/>
      <c r="M44" s="16"/>
      <c r="N44" s="16"/>
      <c r="O44" s="16"/>
      <c r="P44" s="16"/>
      <c r="Q44" s="16"/>
      <c r="R44" s="16"/>
      <c r="S44" s="16"/>
      <c r="T44" s="16"/>
      <c r="U44" s="16"/>
      <c r="V44" s="4"/>
      <c r="W44" s="4"/>
      <c r="X44" s="4"/>
      <c r="Y44" s="4"/>
    </row>
    <row r="45" spans="2:25" ht="12.75">
      <c r="B45" s="4"/>
      <c r="C45" s="16"/>
      <c r="D45" s="16"/>
      <c r="E45" s="16"/>
      <c r="F45" s="16"/>
      <c r="G45" s="16"/>
      <c r="H45" s="16"/>
      <c r="I45" s="16"/>
      <c r="J45" s="16"/>
      <c r="K45" s="16"/>
      <c r="L45" s="16"/>
      <c r="M45" s="16"/>
      <c r="N45" s="16"/>
      <c r="O45" s="16"/>
      <c r="P45" s="16"/>
      <c r="Q45" s="16"/>
      <c r="R45" s="16"/>
      <c r="S45" s="16"/>
      <c r="T45" s="16"/>
      <c r="U45" s="16"/>
      <c r="V45" s="4"/>
      <c r="W45" s="4"/>
      <c r="X45" s="4"/>
      <c r="Y45" s="4"/>
    </row>
    <row r="46" spans="2:25" ht="12.75">
      <c r="B46" s="4"/>
      <c r="C46" s="16"/>
      <c r="D46" s="16"/>
      <c r="E46" s="16"/>
      <c r="F46" s="16"/>
      <c r="G46" s="16"/>
      <c r="H46" s="16"/>
      <c r="I46" s="16"/>
      <c r="J46" s="16"/>
      <c r="K46" s="16"/>
      <c r="L46" s="16"/>
      <c r="M46" s="16"/>
      <c r="N46" s="16"/>
      <c r="O46" s="16"/>
      <c r="P46" s="16"/>
      <c r="Q46" s="16"/>
      <c r="R46" s="16"/>
      <c r="S46" s="16"/>
      <c r="T46" s="16"/>
      <c r="U46" s="16"/>
      <c r="V46" s="4"/>
      <c r="W46" s="4"/>
      <c r="X46" s="4"/>
      <c r="Y46" s="4"/>
    </row>
    <row r="47" spans="2:25" ht="12.75">
      <c r="B47" s="4"/>
      <c r="C47" s="16"/>
      <c r="D47" s="16"/>
      <c r="E47" s="16"/>
      <c r="F47" s="16"/>
      <c r="G47" s="16"/>
      <c r="H47" s="16"/>
      <c r="I47" s="16"/>
      <c r="J47" s="16"/>
      <c r="K47" s="16"/>
      <c r="L47" s="16"/>
      <c r="M47" s="16"/>
      <c r="N47" s="16"/>
      <c r="O47" s="16"/>
      <c r="P47" s="16"/>
      <c r="Q47" s="16"/>
      <c r="R47" s="16"/>
      <c r="S47" s="16"/>
      <c r="T47" s="16"/>
      <c r="U47" s="16"/>
      <c r="V47" s="4"/>
      <c r="W47" s="4"/>
      <c r="X47" s="4"/>
      <c r="Y47" s="4"/>
    </row>
    <row r="48" spans="2:25" ht="12.75">
      <c r="B48" s="4"/>
      <c r="C48" s="16"/>
      <c r="D48" s="16"/>
      <c r="E48" s="16"/>
      <c r="F48" s="16"/>
      <c r="G48" s="16"/>
      <c r="H48" s="16"/>
      <c r="I48" s="16"/>
      <c r="J48" s="16"/>
      <c r="K48" s="16"/>
      <c r="L48" s="16"/>
      <c r="M48" s="16"/>
      <c r="N48" s="16"/>
      <c r="O48" s="16"/>
      <c r="P48" s="16"/>
      <c r="Q48" s="16"/>
      <c r="R48" s="16"/>
      <c r="S48" s="16"/>
      <c r="T48" s="16"/>
      <c r="U48" s="16"/>
      <c r="V48" s="4"/>
      <c r="W48" s="4"/>
      <c r="X48" s="4"/>
      <c r="Y48" s="4"/>
    </row>
    <row r="49" spans="2:25" ht="12.75">
      <c r="B49" s="4"/>
      <c r="C49" s="16"/>
      <c r="D49" s="16"/>
      <c r="E49" s="16"/>
      <c r="F49" s="16"/>
      <c r="G49" s="16"/>
      <c r="H49" s="16"/>
      <c r="I49" s="16"/>
      <c r="J49" s="16"/>
      <c r="K49" s="16"/>
      <c r="L49" s="16"/>
      <c r="M49" s="16"/>
      <c r="N49" s="16"/>
      <c r="O49" s="16"/>
      <c r="P49" s="16"/>
      <c r="Q49" s="16"/>
      <c r="R49" s="16"/>
      <c r="S49" s="16"/>
      <c r="T49" s="16"/>
      <c r="U49" s="16"/>
      <c r="V49" s="4"/>
      <c r="W49" s="4"/>
      <c r="X49" s="4"/>
      <c r="Y49" s="4"/>
    </row>
    <row r="50" spans="2:25" ht="12.75">
      <c r="B50" s="4"/>
      <c r="C50" s="16"/>
      <c r="D50" s="16"/>
      <c r="E50" s="16"/>
      <c r="F50" s="16"/>
      <c r="G50" s="16"/>
      <c r="H50" s="16"/>
      <c r="I50" s="16"/>
      <c r="J50" s="16"/>
      <c r="K50" s="16"/>
      <c r="L50" s="16"/>
      <c r="M50" s="16"/>
      <c r="N50" s="16"/>
      <c r="O50" s="16"/>
      <c r="P50" s="16"/>
      <c r="Q50" s="16"/>
      <c r="R50" s="16"/>
      <c r="S50" s="16"/>
      <c r="T50" s="16"/>
      <c r="U50" s="16"/>
      <c r="V50" s="4"/>
      <c r="W50" s="4"/>
      <c r="X50" s="4"/>
      <c r="Y50" s="4"/>
    </row>
    <row r="51" spans="2:25" ht="12.75">
      <c r="B51" s="4"/>
      <c r="C51" s="16"/>
      <c r="D51" s="16"/>
      <c r="E51" s="16"/>
      <c r="F51" s="16"/>
      <c r="G51" s="16"/>
      <c r="H51" s="16"/>
      <c r="I51" s="16"/>
      <c r="J51" s="16"/>
      <c r="K51" s="16"/>
      <c r="L51" s="16"/>
      <c r="M51" s="16"/>
      <c r="N51" s="16"/>
      <c r="O51" s="16"/>
      <c r="P51" s="16"/>
      <c r="Q51" s="16"/>
      <c r="R51" s="16"/>
      <c r="S51" s="16"/>
      <c r="T51" s="16"/>
      <c r="U51" s="16"/>
      <c r="V51" s="4"/>
      <c r="W51" s="4"/>
      <c r="X51" s="4"/>
      <c r="Y51" s="4"/>
    </row>
    <row r="52" spans="3:21" ht="12.75">
      <c r="C52" s="15"/>
      <c r="D52" s="15"/>
      <c r="E52" s="15"/>
      <c r="F52" s="15"/>
      <c r="G52" s="15"/>
      <c r="H52" s="15"/>
      <c r="I52" s="15"/>
      <c r="J52" s="15"/>
      <c r="K52" s="15"/>
      <c r="L52" s="15"/>
      <c r="M52" s="15"/>
      <c r="N52" s="15"/>
      <c r="O52" s="15"/>
      <c r="P52" s="15"/>
      <c r="Q52" s="15"/>
      <c r="R52" s="15"/>
      <c r="S52" s="15"/>
      <c r="T52" s="15"/>
      <c r="U52" s="15"/>
    </row>
    <row r="53" spans="3:21" ht="12.75">
      <c r="C53" s="15"/>
      <c r="D53" s="15"/>
      <c r="E53" s="15"/>
      <c r="F53" s="15"/>
      <c r="G53" s="15"/>
      <c r="H53" s="15"/>
      <c r="I53" s="15"/>
      <c r="J53" s="15"/>
      <c r="K53" s="15"/>
      <c r="L53" s="15"/>
      <c r="M53" s="15"/>
      <c r="N53" s="15"/>
      <c r="O53" s="15"/>
      <c r="P53" s="15"/>
      <c r="Q53" s="15"/>
      <c r="R53" s="15"/>
      <c r="S53" s="15"/>
      <c r="T53" s="15"/>
      <c r="U53" s="15"/>
    </row>
    <row r="54" spans="3:21" ht="12.75">
      <c r="C54" s="15"/>
      <c r="D54" s="15"/>
      <c r="E54" s="15"/>
      <c r="F54" s="15"/>
      <c r="G54" s="15"/>
      <c r="H54" s="15"/>
      <c r="I54" s="15"/>
      <c r="J54" s="15"/>
      <c r="K54" s="15"/>
      <c r="L54" s="15"/>
      <c r="M54" s="15"/>
      <c r="N54" s="15"/>
      <c r="O54" s="15"/>
      <c r="P54" s="15"/>
      <c r="Q54" s="15"/>
      <c r="R54" s="15"/>
      <c r="S54" s="15"/>
      <c r="T54" s="15"/>
      <c r="U54" s="15"/>
    </row>
    <row r="55" spans="3:21" ht="12.75">
      <c r="C55" s="15"/>
      <c r="D55" s="15"/>
      <c r="E55" s="15"/>
      <c r="F55" s="15"/>
      <c r="G55" s="15"/>
      <c r="H55" s="15"/>
      <c r="I55" s="15"/>
      <c r="J55" s="15"/>
      <c r="K55" s="15"/>
      <c r="L55" s="15"/>
      <c r="M55" s="15"/>
      <c r="N55" s="15"/>
      <c r="O55" s="15"/>
      <c r="P55" s="15"/>
      <c r="Q55" s="15"/>
      <c r="R55" s="15"/>
      <c r="S55" s="15"/>
      <c r="T55" s="15"/>
      <c r="U55" s="15"/>
    </row>
    <row r="56" spans="3:21" ht="12.75">
      <c r="C56" s="15"/>
      <c r="D56" s="15"/>
      <c r="E56" s="15"/>
      <c r="F56" s="15"/>
      <c r="G56" s="15"/>
      <c r="H56" s="15"/>
      <c r="I56" s="15"/>
      <c r="J56" s="15"/>
      <c r="K56" s="15"/>
      <c r="L56" s="15"/>
      <c r="M56" s="15"/>
      <c r="N56" s="15"/>
      <c r="O56" s="15"/>
      <c r="P56" s="15"/>
      <c r="Q56" s="15"/>
      <c r="R56" s="15"/>
      <c r="S56" s="15"/>
      <c r="T56" s="15"/>
      <c r="U56" s="15"/>
    </row>
    <row r="57" spans="3:21" ht="12.75">
      <c r="C57" s="15"/>
      <c r="D57" s="15"/>
      <c r="E57" s="15"/>
      <c r="F57" s="15"/>
      <c r="G57" s="15"/>
      <c r="H57" s="15"/>
      <c r="I57" s="15"/>
      <c r="J57" s="15"/>
      <c r="K57" s="15"/>
      <c r="L57" s="15"/>
      <c r="M57" s="15"/>
      <c r="N57" s="15"/>
      <c r="O57" s="15"/>
      <c r="P57" s="15"/>
      <c r="Q57" s="15"/>
      <c r="R57" s="15"/>
      <c r="S57" s="15"/>
      <c r="T57" s="15"/>
      <c r="U57" s="15"/>
    </row>
    <row r="58" spans="3:21" ht="12.75">
      <c r="C58" s="15"/>
      <c r="D58" s="15"/>
      <c r="E58" s="15"/>
      <c r="F58" s="15"/>
      <c r="G58" s="15"/>
      <c r="H58" s="15"/>
      <c r="I58" s="15"/>
      <c r="J58" s="15"/>
      <c r="K58" s="15"/>
      <c r="L58" s="15"/>
      <c r="M58" s="15"/>
      <c r="N58" s="15"/>
      <c r="O58" s="15"/>
      <c r="P58" s="15"/>
      <c r="Q58" s="15"/>
      <c r="R58" s="15"/>
      <c r="S58" s="15"/>
      <c r="T58" s="15"/>
      <c r="U58" s="15"/>
    </row>
    <row r="59" spans="3:21" ht="12.75">
      <c r="C59" s="15"/>
      <c r="D59" s="15"/>
      <c r="E59" s="15"/>
      <c r="F59" s="15"/>
      <c r="G59" s="15"/>
      <c r="H59" s="15"/>
      <c r="I59" s="15"/>
      <c r="J59" s="15"/>
      <c r="K59" s="15"/>
      <c r="L59" s="15"/>
      <c r="M59" s="15"/>
      <c r="N59" s="15"/>
      <c r="O59" s="15"/>
      <c r="P59" s="15"/>
      <c r="Q59" s="15"/>
      <c r="R59" s="15"/>
      <c r="S59" s="15"/>
      <c r="T59" s="15"/>
      <c r="U59" s="15"/>
    </row>
    <row r="60" spans="3:21" ht="12.75">
      <c r="C60" s="15"/>
      <c r="D60" s="15"/>
      <c r="E60" s="15"/>
      <c r="F60" s="15"/>
      <c r="G60" s="15"/>
      <c r="H60" s="15"/>
      <c r="I60" s="15"/>
      <c r="J60" s="15"/>
      <c r="K60" s="15"/>
      <c r="L60" s="15"/>
      <c r="M60" s="15"/>
      <c r="N60" s="15"/>
      <c r="O60" s="15"/>
      <c r="P60" s="15"/>
      <c r="Q60" s="15"/>
      <c r="R60" s="15"/>
      <c r="S60" s="15"/>
      <c r="T60" s="15"/>
      <c r="U60" s="15"/>
    </row>
    <row r="61" spans="3:21" ht="12.75">
      <c r="C61" s="15"/>
      <c r="D61" s="15"/>
      <c r="E61" s="15"/>
      <c r="F61" s="15"/>
      <c r="G61" s="15"/>
      <c r="H61" s="15"/>
      <c r="I61" s="15"/>
      <c r="J61" s="15"/>
      <c r="K61" s="15"/>
      <c r="L61" s="15"/>
      <c r="M61" s="15"/>
      <c r="N61" s="15"/>
      <c r="O61" s="15"/>
      <c r="P61" s="15"/>
      <c r="Q61" s="15"/>
      <c r="R61" s="15"/>
      <c r="S61" s="15"/>
      <c r="T61" s="15"/>
      <c r="U61" s="15"/>
    </row>
    <row r="62" spans="3:21" ht="12.75">
      <c r="C62" s="15"/>
      <c r="D62" s="15"/>
      <c r="E62" s="15"/>
      <c r="F62" s="15"/>
      <c r="G62" s="15"/>
      <c r="H62" s="15"/>
      <c r="I62" s="15"/>
      <c r="J62" s="15"/>
      <c r="K62" s="15"/>
      <c r="L62" s="15"/>
      <c r="M62" s="15"/>
      <c r="N62" s="15"/>
      <c r="O62" s="15"/>
      <c r="P62" s="15"/>
      <c r="Q62" s="15"/>
      <c r="R62" s="15"/>
      <c r="S62" s="15"/>
      <c r="T62" s="15"/>
      <c r="U62" s="15"/>
    </row>
    <row r="63" spans="3:21" ht="12.75">
      <c r="C63" s="15"/>
      <c r="D63" s="15"/>
      <c r="E63" s="15"/>
      <c r="F63" s="15"/>
      <c r="G63" s="15"/>
      <c r="H63" s="15"/>
      <c r="I63" s="15"/>
      <c r="J63" s="15"/>
      <c r="K63" s="15"/>
      <c r="L63" s="15"/>
      <c r="M63" s="15"/>
      <c r="N63" s="15"/>
      <c r="O63" s="15"/>
      <c r="P63" s="15"/>
      <c r="Q63" s="15"/>
      <c r="R63" s="15"/>
      <c r="S63" s="15"/>
      <c r="T63" s="15"/>
      <c r="U63" s="15"/>
    </row>
    <row r="64" spans="3:21" ht="12.75">
      <c r="C64" s="15"/>
      <c r="D64" s="15"/>
      <c r="E64" s="15"/>
      <c r="F64" s="15"/>
      <c r="G64" s="15"/>
      <c r="H64" s="15"/>
      <c r="I64" s="15"/>
      <c r="J64" s="15"/>
      <c r="K64" s="15"/>
      <c r="L64" s="15"/>
      <c r="M64" s="15"/>
      <c r="N64" s="15"/>
      <c r="O64" s="15"/>
      <c r="P64" s="15"/>
      <c r="Q64" s="15"/>
      <c r="R64" s="15"/>
      <c r="S64" s="15"/>
      <c r="T64" s="15"/>
      <c r="U64" s="15"/>
    </row>
    <row r="65" spans="3:21" ht="12.75">
      <c r="C65" s="15"/>
      <c r="D65" s="15"/>
      <c r="E65" s="15"/>
      <c r="F65" s="15"/>
      <c r="G65" s="15"/>
      <c r="H65" s="15"/>
      <c r="I65" s="15"/>
      <c r="J65" s="15"/>
      <c r="K65" s="15"/>
      <c r="L65" s="15"/>
      <c r="M65" s="15"/>
      <c r="N65" s="15"/>
      <c r="O65" s="15"/>
      <c r="P65" s="15"/>
      <c r="Q65" s="15"/>
      <c r="R65" s="15"/>
      <c r="S65" s="15"/>
      <c r="T65" s="15"/>
      <c r="U65" s="15"/>
    </row>
    <row r="66" spans="3:21" ht="12.75">
      <c r="C66" s="15"/>
      <c r="D66" s="15"/>
      <c r="E66" s="15"/>
      <c r="F66" s="15"/>
      <c r="G66" s="15"/>
      <c r="H66" s="15"/>
      <c r="I66" s="15"/>
      <c r="J66" s="15"/>
      <c r="K66" s="15"/>
      <c r="L66" s="15"/>
      <c r="M66" s="15"/>
      <c r="N66" s="15"/>
      <c r="O66" s="15"/>
      <c r="P66" s="15"/>
      <c r="Q66" s="15"/>
      <c r="R66" s="15"/>
      <c r="S66" s="15"/>
      <c r="T66" s="15"/>
      <c r="U66" s="15"/>
    </row>
    <row r="67" spans="3:21" ht="12.75">
      <c r="C67" s="15"/>
      <c r="D67" s="15"/>
      <c r="E67" s="15"/>
      <c r="F67" s="15"/>
      <c r="G67" s="15"/>
      <c r="H67" s="15"/>
      <c r="I67" s="15"/>
      <c r="J67" s="15"/>
      <c r="K67" s="15"/>
      <c r="L67" s="15"/>
      <c r="M67" s="15"/>
      <c r="N67" s="15"/>
      <c r="O67" s="15"/>
      <c r="P67" s="15"/>
      <c r="Q67" s="15"/>
      <c r="R67" s="15"/>
      <c r="S67" s="15"/>
      <c r="T67" s="15"/>
      <c r="U67" s="15"/>
    </row>
    <row r="68" spans="3:21" ht="12.75">
      <c r="C68" s="15"/>
      <c r="D68" s="15"/>
      <c r="E68" s="15"/>
      <c r="F68" s="15"/>
      <c r="G68" s="15"/>
      <c r="H68" s="15"/>
      <c r="I68" s="15"/>
      <c r="J68" s="15"/>
      <c r="K68" s="15"/>
      <c r="L68" s="15"/>
      <c r="M68" s="15"/>
      <c r="N68" s="15"/>
      <c r="O68" s="15"/>
      <c r="P68" s="15"/>
      <c r="Q68" s="15"/>
      <c r="R68" s="15"/>
      <c r="S68" s="15"/>
      <c r="T68" s="15"/>
      <c r="U68" s="15"/>
    </row>
    <row r="69" spans="3:21" ht="12.75">
      <c r="C69" s="15"/>
      <c r="D69" s="15"/>
      <c r="E69" s="15"/>
      <c r="F69" s="15"/>
      <c r="G69" s="15"/>
      <c r="H69" s="15"/>
      <c r="I69" s="15"/>
      <c r="J69" s="15"/>
      <c r="K69" s="15"/>
      <c r="L69" s="15"/>
      <c r="M69" s="15"/>
      <c r="N69" s="15"/>
      <c r="O69" s="15"/>
      <c r="P69" s="15"/>
      <c r="Q69" s="15"/>
      <c r="R69" s="15"/>
      <c r="S69" s="15"/>
      <c r="T69" s="15"/>
      <c r="U69" s="15"/>
    </row>
    <row r="70" spans="3:21" ht="12.75">
      <c r="C70" s="15"/>
      <c r="D70" s="15"/>
      <c r="E70" s="15"/>
      <c r="F70" s="15"/>
      <c r="G70" s="15"/>
      <c r="H70" s="15"/>
      <c r="I70" s="15"/>
      <c r="J70" s="15"/>
      <c r="K70" s="15"/>
      <c r="L70" s="15"/>
      <c r="M70" s="15"/>
      <c r="N70" s="15"/>
      <c r="O70" s="15"/>
      <c r="P70" s="15"/>
      <c r="Q70" s="15"/>
      <c r="R70" s="15"/>
      <c r="S70" s="15"/>
      <c r="T70" s="15"/>
      <c r="U70" s="15"/>
    </row>
    <row r="71" spans="3:21" ht="12.75">
      <c r="C71" s="15"/>
      <c r="D71" s="15"/>
      <c r="E71" s="15"/>
      <c r="F71" s="15"/>
      <c r="G71" s="15"/>
      <c r="H71" s="15"/>
      <c r="I71" s="15"/>
      <c r="J71" s="15"/>
      <c r="K71" s="15"/>
      <c r="L71" s="15"/>
      <c r="M71" s="15"/>
      <c r="N71" s="15"/>
      <c r="O71" s="15"/>
      <c r="P71" s="15"/>
      <c r="Q71" s="15"/>
      <c r="R71" s="15"/>
      <c r="S71" s="15"/>
      <c r="T71" s="15"/>
      <c r="U71" s="15"/>
    </row>
    <row r="72" spans="3:21" ht="12.75">
      <c r="C72" s="15"/>
      <c r="D72" s="15"/>
      <c r="E72" s="15"/>
      <c r="F72" s="15"/>
      <c r="G72" s="15"/>
      <c r="H72" s="15"/>
      <c r="I72" s="15"/>
      <c r="J72" s="15"/>
      <c r="K72" s="15"/>
      <c r="L72" s="15"/>
      <c r="M72" s="15"/>
      <c r="N72" s="15"/>
      <c r="O72" s="15"/>
      <c r="P72" s="15"/>
      <c r="Q72" s="15"/>
      <c r="R72" s="15"/>
      <c r="S72" s="15"/>
      <c r="T72" s="15"/>
      <c r="U72" s="15"/>
    </row>
    <row r="73" spans="3:21" ht="12.75">
      <c r="C73" s="15"/>
      <c r="D73" s="15"/>
      <c r="E73" s="15"/>
      <c r="F73" s="15"/>
      <c r="G73" s="15"/>
      <c r="H73" s="15"/>
      <c r="I73" s="15"/>
      <c r="J73" s="15"/>
      <c r="K73" s="15"/>
      <c r="L73" s="15"/>
      <c r="M73" s="15"/>
      <c r="N73" s="15"/>
      <c r="O73" s="15"/>
      <c r="P73" s="15"/>
      <c r="Q73" s="15"/>
      <c r="R73" s="15"/>
      <c r="S73" s="15"/>
      <c r="T73" s="15"/>
      <c r="U73" s="15"/>
    </row>
  </sheetData>
  <mergeCells count="34">
    <mergeCell ref="B2:B4"/>
    <mergeCell ref="C2:C4"/>
    <mergeCell ref="D2:D4"/>
    <mergeCell ref="E2:E4"/>
    <mergeCell ref="F2:H2"/>
    <mergeCell ref="I2:L2"/>
    <mergeCell ref="M2:R2"/>
    <mergeCell ref="S2:U2"/>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B37:B40"/>
    <mergeCell ref="W2:Y2"/>
    <mergeCell ref="B21:B24"/>
    <mergeCell ref="B25:B28"/>
    <mergeCell ref="B29:B32"/>
    <mergeCell ref="B33:B36"/>
    <mergeCell ref="B5:B8"/>
    <mergeCell ref="B9:B12"/>
    <mergeCell ref="B13:B16"/>
    <mergeCell ref="B17:B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31"/>
  <sheetViews>
    <sheetView zoomScale="150" zoomScaleNormal="150" workbookViewId="0" topLeftCell="A1">
      <selection activeCell="B11" sqref="B11"/>
    </sheetView>
  </sheetViews>
  <sheetFormatPr defaultColWidth="9.140625" defaultRowHeight="12.75"/>
  <cols>
    <col min="1" max="1" width="3.421875" style="58" customWidth="1"/>
    <col min="2" max="2" width="20.57421875" style="58" customWidth="1"/>
    <col min="3" max="5" width="9.140625" style="58" customWidth="1"/>
    <col min="6" max="6" width="8.421875" style="58" customWidth="1"/>
    <col min="7" max="9" width="9.140625" style="58" customWidth="1"/>
    <col min="10" max="10" width="2.28125" style="58" customWidth="1"/>
    <col min="11" max="16384" width="9.140625" style="58" customWidth="1"/>
  </cols>
  <sheetData>
    <row r="1" ht="13.5" thickBot="1"/>
    <row r="2" spans="2:9" ht="13.5" thickBot="1">
      <c r="B2" s="54" t="s">
        <v>31</v>
      </c>
      <c r="C2" s="130" t="s">
        <v>1</v>
      </c>
      <c r="D2" s="131"/>
      <c r="E2" s="131"/>
      <c r="F2" s="131"/>
      <c r="G2" s="131"/>
      <c r="H2" s="131"/>
      <c r="I2" s="132"/>
    </row>
    <row r="3" spans="2:9" ht="18.75" customHeight="1">
      <c r="B3" s="133" t="s">
        <v>17</v>
      </c>
      <c r="C3" s="135" t="s">
        <v>52</v>
      </c>
      <c r="D3" s="115" t="s">
        <v>28</v>
      </c>
      <c r="E3" s="115" t="s">
        <v>29</v>
      </c>
      <c r="F3" s="115" t="s">
        <v>53</v>
      </c>
      <c r="G3" s="115" t="s">
        <v>25</v>
      </c>
      <c r="H3" s="115" t="s">
        <v>54</v>
      </c>
      <c r="I3" s="116" t="s">
        <v>55</v>
      </c>
    </row>
    <row r="4" spans="2:9" ht="18" customHeight="1" thickBot="1">
      <c r="B4" s="134"/>
      <c r="C4" s="134"/>
      <c r="D4" s="136"/>
      <c r="E4" s="136"/>
      <c r="F4" s="136"/>
      <c r="G4" s="136"/>
      <c r="H4" s="136"/>
      <c r="I4" s="137"/>
    </row>
    <row r="5" spans="2:9" ht="12.75">
      <c r="B5" s="59" t="s">
        <v>56</v>
      </c>
      <c r="C5" s="49">
        <f>31</f>
        <v>31</v>
      </c>
      <c r="D5" s="36">
        <f>499.2/G5*C5</f>
        <v>31.199999999999996</v>
      </c>
      <c r="E5" s="36">
        <f>D5*16/31</f>
        <v>16.10322580645161</v>
      </c>
      <c r="F5" s="46">
        <f>G5/C5</f>
        <v>16</v>
      </c>
      <c r="G5" s="46">
        <f>16*C5</f>
        <v>496</v>
      </c>
      <c r="H5" s="36">
        <f>1000*C5/D5</f>
        <v>993.5897435897438</v>
      </c>
      <c r="I5" s="37">
        <f>1000/H5</f>
        <v>1.0064516129032257</v>
      </c>
    </row>
    <row r="6" spans="2:9" ht="12.75">
      <c r="B6" s="60" t="s">
        <v>50</v>
      </c>
      <c r="C6" s="44">
        <v>31</v>
      </c>
      <c r="D6" s="39">
        <f>499.2/G6*C6</f>
        <v>7.799999999999999</v>
      </c>
      <c r="E6" s="61">
        <f>D6*16/31</f>
        <v>4.025806451612903</v>
      </c>
      <c r="F6" s="47">
        <f>G6/C6</f>
        <v>64</v>
      </c>
      <c r="G6" s="47">
        <f>64*C6</f>
        <v>1984</v>
      </c>
      <c r="H6" s="39">
        <f>1000*C6/D6</f>
        <v>3974.358974358975</v>
      </c>
      <c r="I6" s="40">
        <f>1000/H6</f>
        <v>0.25161290322580643</v>
      </c>
    </row>
    <row r="7" spans="2:9" ht="13.5" thickBot="1">
      <c r="B7" s="62" t="s">
        <v>56</v>
      </c>
      <c r="C7" s="45">
        <f>127</f>
        <v>127</v>
      </c>
      <c r="D7" s="42">
        <f>499.2/G7*C7</f>
        <v>124.8</v>
      </c>
      <c r="E7" s="32">
        <f>D7*64/127</f>
        <v>62.891338582677164</v>
      </c>
      <c r="F7" s="48">
        <f>G7/C7</f>
        <v>4</v>
      </c>
      <c r="G7" s="48">
        <f>C7*4</f>
        <v>508</v>
      </c>
      <c r="H7" s="42">
        <f>1000*C7/D7</f>
        <v>1017.6282051282052</v>
      </c>
      <c r="I7" s="43">
        <f>1000/H7</f>
        <v>0.9826771653543307</v>
      </c>
    </row>
    <row r="8" spans="1:11" ht="13.5">
      <c r="A8"/>
      <c r="B8"/>
      <c r="C8"/>
      <c r="D8"/>
      <c r="E8"/>
      <c r="F8"/>
      <c r="G8"/>
      <c r="H8"/>
      <c r="I8"/>
      <c r="J8"/>
      <c r="K8"/>
    </row>
    <row r="9" spans="1:11" ht="13.5">
      <c r="A9"/>
      <c r="B9"/>
      <c r="C9"/>
      <c r="D9"/>
      <c r="E9"/>
      <c r="F9"/>
      <c r="G9"/>
      <c r="H9"/>
      <c r="I9"/>
      <c r="J9"/>
      <c r="K9"/>
    </row>
    <row r="10" spans="1:11" ht="13.5">
      <c r="A10"/>
      <c r="B10"/>
      <c r="C10"/>
      <c r="D10"/>
      <c r="E10"/>
      <c r="F10"/>
      <c r="G10"/>
      <c r="H10"/>
      <c r="I10"/>
      <c r="J10"/>
      <c r="K10"/>
    </row>
    <row r="20" spans="1:3" ht="13.5">
      <c r="A20"/>
      <c r="B20"/>
      <c r="C20"/>
    </row>
    <row r="21" spans="1:3" ht="13.5">
      <c r="A21"/>
      <c r="B21"/>
      <c r="C21"/>
    </row>
    <row r="22" spans="1:3" ht="13.5">
      <c r="A22"/>
      <c r="B22"/>
      <c r="C22"/>
    </row>
    <row r="23" spans="1:3" ht="13.5">
      <c r="A23"/>
      <c r="B23"/>
      <c r="C23"/>
    </row>
    <row r="24" spans="1:3" ht="13.5">
      <c r="A24"/>
      <c r="B24"/>
      <c r="C24"/>
    </row>
    <row r="25" spans="1:3" ht="13.5">
      <c r="A25"/>
      <c r="B25"/>
      <c r="C25"/>
    </row>
    <row r="26" spans="1:3" ht="13.5">
      <c r="A26"/>
      <c r="B26"/>
      <c r="C26"/>
    </row>
    <row r="28" spans="1:2" ht="13.5">
      <c r="A28"/>
      <c r="B28"/>
    </row>
    <row r="29" spans="1:2" ht="13.5">
      <c r="A29"/>
      <c r="B29"/>
    </row>
    <row r="30" spans="1:2" ht="13.5">
      <c r="A30"/>
      <c r="B30"/>
    </row>
    <row r="31" spans="1:2" ht="13.5">
      <c r="A31"/>
      <c r="B31"/>
    </row>
  </sheetData>
  <mergeCells count="9">
    <mergeCell ref="C2:I2"/>
    <mergeCell ref="B3:B4"/>
    <mergeCell ref="C3:C4"/>
    <mergeCell ref="D3:D4"/>
    <mergeCell ref="E3:E4"/>
    <mergeCell ref="F3:F4"/>
    <mergeCell ref="G3:G4"/>
    <mergeCell ref="H3:H4"/>
    <mergeCell ref="I3: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O60"/>
  <sheetViews>
    <sheetView zoomScale="150" zoomScaleNormal="150" workbookViewId="0" topLeftCell="A1">
      <selection activeCell="D32" sqref="D32"/>
    </sheetView>
  </sheetViews>
  <sheetFormatPr defaultColWidth="9.140625" defaultRowHeight="12.75"/>
  <cols>
    <col min="1" max="1" width="2.7109375" style="0" customWidth="1"/>
    <col min="2" max="2" width="9.7109375" style="0" customWidth="1"/>
    <col min="3" max="3" width="23.140625" style="0" customWidth="1"/>
    <col min="4" max="4" width="9.28125" style="0" customWidth="1"/>
    <col min="5" max="7" width="10.28125" style="0" customWidth="1"/>
    <col min="8" max="8" width="1.1484375" style="0" customWidth="1"/>
  </cols>
  <sheetData>
    <row r="1" ht="13.5" thickBot="1"/>
    <row r="2" spans="2:7" ht="13.5" thickBot="1">
      <c r="B2" s="52" t="s">
        <v>32</v>
      </c>
      <c r="C2" s="161" t="s">
        <v>33</v>
      </c>
      <c r="D2" s="162"/>
      <c r="E2" s="161" t="s">
        <v>18</v>
      </c>
      <c r="F2" s="163"/>
      <c r="G2" s="162"/>
    </row>
    <row r="3" spans="2:15" ht="25.5" customHeight="1">
      <c r="B3" s="65" t="s">
        <v>0</v>
      </c>
      <c r="C3" s="66" t="s">
        <v>57</v>
      </c>
      <c r="D3" s="66"/>
      <c r="E3" s="164" t="s">
        <v>56</v>
      </c>
      <c r="F3" s="165"/>
      <c r="G3" s="67" t="s">
        <v>50</v>
      </c>
      <c r="H3" s="50"/>
      <c r="J3" s="50"/>
      <c r="K3" s="50"/>
      <c r="L3" s="50"/>
      <c r="M3" s="50"/>
      <c r="N3" s="50"/>
      <c r="O3" s="50"/>
    </row>
    <row r="4" spans="2:15" ht="12.75" customHeight="1">
      <c r="B4" s="68" t="s">
        <v>58</v>
      </c>
      <c r="C4" s="69" t="s">
        <v>29</v>
      </c>
      <c r="D4" s="69"/>
      <c r="E4" s="70">
        <v>16.1</v>
      </c>
      <c r="F4" s="71">
        <v>62.89</v>
      </c>
      <c r="G4" s="72">
        <v>4.03</v>
      </c>
      <c r="H4" s="50"/>
      <c r="J4" s="50"/>
      <c r="K4" s="50"/>
      <c r="L4" s="50"/>
      <c r="M4" s="50"/>
      <c r="N4" s="50"/>
      <c r="O4" s="50"/>
    </row>
    <row r="5" spans="2:15" ht="13.5">
      <c r="B5" s="73" t="s">
        <v>59</v>
      </c>
      <c r="C5" s="74" t="s">
        <v>60</v>
      </c>
      <c r="D5" s="75"/>
      <c r="E5" s="76">
        <f>496</f>
        <v>496</v>
      </c>
      <c r="F5" s="75">
        <v>508</v>
      </c>
      <c r="G5" s="72">
        <f>1984</f>
        <v>1984</v>
      </c>
      <c r="H5" s="50"/>
      <c r="J5" s="50"/>
      <c r="K5" s="50"/>
      <c r="L5" s="50"/>
      <c r="M5" s="50"/>
      <c r="N5" s="50"/>
      <c r="O5" s="50"/>
    </row>
    <row r="6" spans="2:15" ht="12.75" customHeight="1">
      <c r="B6" s="73" t="s">
        <v>61</v>
      </c>
      <c r="C6" s="74" t="s">
        <v>35</v>
      </c>
      <c r="D6" s="77"/>
      <c r="E6" s="78">
        <f>1000*31*16/499.2</f>
        <v>993.5897435897436</v>
      </c>
      <c r="F6" s="79">
        <f>1000*F5/499.2</f>
        <v>1017.6282051282052</v>
      </c>
      <c r="G6" s="80">
        <f>1000*G5/499.2</f>
        <v>3974.3589743589746</v>
      </c>
      <c r="H6" s="50"/>
      <c r="J6" s="50"/>
      <c r="K6" s="50"/>
      <c r="L6" s="50"/>
      <c r="M6" s="50"/>
      <c r="N6" s="50"/>
      <c r="O6" s="50"/>
    </row>
    <row r="7" spans="2:15" ht="13.5" customHeight="1">
      <c r="B7" s="142" t="s">
        <v>62</v>
      </c>
      <c r="C7" s="145" t="s">
        <v>34</v>
      </c>
      <c r="D7" s="81" t="s">
        <v>63</v>
      </c>
      <c r="E7" s="152">
        <v>16</v>
      </c>
      <c r="F7" s="153"/>
      <c r="G7" s="154"/>
      <c r="H7" s="50"/>
      <c r="I7" s="50"/>
      <c r="J7" s="50"/>
      <c r="K7" s="50"/>
      <c r="L7" s="50"/>
      <c r="M7" s="50"/>
      <c r="N7" s="50"/>
      <c r="O7" s="50"/>
    </row>
    <row r="8" spans="2:15" ht="13.5" customHeight="1">
      <c r="B8" s="143"/>
      <c r="C8" s="146"/>
      <c r="D8" s="53" t="s">
        <v>64</v>
      </c>
      <c r="E8" s="155">
        <v>64</v>
      </c>
      <c r="F8" s="156"/>
      <c r="G8" s="157"/>
      <c r="H8" s="50"/>
      <c r="I8" s="50"/>
      <c r="J8" s="50"/>
      <c r="K8" s="50"/>
      <c r="L8" s="50"/>
      <c r="M8" s="50"/>
      <c r="N8" s="50"/>
      <c r="O8" s="50"/>
    </row>
    <row r="9" spans="2:15" ht="13.5" customHeight="1">
      <c r="B9" s="143"/>
      <c r="C9" s="146"/>
      <c r="D9" s="53" t="s">
        <v>65</v>
      </c>
      <c r="E9" s="155">
        <v>1024</v>
      </c>
      <c r="F9" s="156"/>
      <c r="G9" s="157"/>
      <c r="H9" s="50"/>
      <c r="I9" s="50"/>
      <c r="J9" s="50"/>
      <c r="K9" s="50"/>
      <c r="L9" s="50"/>
      <c r="M9" s="50"/>
      <c r="N9" s="50"/>
      <c r="O9" s="50"/>
    </row>
    <row r="10" spans="2:15" ht="13.5" customHeight="1">
      <c r="B10" s="144"/>
      <c r="C10" s="147"/>
      <c r="D10" s="82" t="s">
        <v>66</v>
      </c>
      <c r="E10" s="158">
        <v>4096</v>
      </c>
      <c r="F10" s="159"/>
      <c r="G10" s="160"/>
      <c r="H10" s="50"/>
      <c r="I10" s="50"/>
      <c r="J10" s="50"/>
      <c r="K10" s="50"/>
      <c r="L10" s="50"/>
      <c r="M10" s="50"/>
      <c r="N10" s="50"/>
      <c r="O10" s="50"/>
    </row>
    <row r="11" spans="2:15" ht="13.5" customHeight="1">
      <c r="B11" s="142" t="s">
        <v>67</v>
      </c>
      <c r="C11" s="145" t="s">
        <v>68</v>
      </c>
      <c r="D11" s="81" t="s">
        <v>63</v>
      </c>
      <c r="E11" s="86">
        <f>$E7*E6/1000</f>
        <v>15.897435897435898</v>
      </c>
      <c r="F11" s="87">
        <f>$E7*F6/1000</f>
        <v>16.282051282051285</v>
      </c>
      <c r="G11" s="88">
        <f>$E7*G6/1000</f>
        <v>63.58974358974359</v>
      </c>
      <c r="H11" s="50"/>
      <c r="J11" s="50"/>
      <c r="K11" s="50"/>
      <c r="L11" s="50"/>
      <c r="M11" s="50"/>
      <c r="N11" s="50"/>
      <c r="O11" s="50"/>
    </row>
    <row r="12" spans="2:15" ht="13.5" customHeight="1">
      <c r="B12" s="143"/>
      <c r="C12" s="146"/>
      <c r="D12" s="53" t="s">
        <v>64</v>
      </c>
      <c r="E12" s="89">
        <f>$E8*E6/1000</f>
        <v>63.58974358974359</v>
      </c>
      <c r="F12" s="90">
        <f>$E8*F6/1000</f>
        <v>65.12820512820514</v>
      </c>
      <c r="G12" s="91">
        <f>$E8*G6/1000</f>
        <v>254.35897435897436</v>
      </c>
      <c r="H12" s="50"/>
      <c r="J12" s="50"/>
      <c r="K12" s="50"/>
      <c r="L12" s="50"/>
      <c r="M12" s="50"/>
      <c r="N12" s="50"/>
      <c r="O12" s="50"/>
    </row>
    <row r="13" spans="2:15" ht="13.5" customHeight="1">
      <c r="B13" s="143"/>
      <c r="C13" s="146"/>
      <c r="D13" s="53" t="s">
        <v>65</v>
      </c>
      <c r="E13" s="89">
        <f>$E9*E6/1000</f>
        <v>1017.4358974358975</v>
      </c>
      <c r="F13" s="90">
        <f>$E9*F6/1000</f>
        <v>1042.0512820512822</v>
      </c>
      <c r="G13" s="91">
        <f>$E9*G6/1000</f>
        <v>4069.74358974359</v>
      </c>
      <c r="H13" s="50"/>
      <c r="J13" s="50"/>
      <c r="K13" s="50"/>
      <c r="L13" s="50"/>
      <c r="M13" s="50"/>
      <c r="N13" s="50"/>
      <c r="O13" s="50"/>
    </row>
    <row r="14" spans="2:15" ht="13.5" customHeight="1">
      <c r="B14" s="144"/>
      <c r="C14" s="147"/>
      <c r="D14" s="82" t="s">
        <v>66</v>
      </c>
      <c r="E14" s="92">
        <f>$E10*E6/1000</f>
        <v>4069.74358974359</v>
      </c>
      <c r="F14" s="93">
        <f>$E10*F6/1000</f>
        <v>4168.205128205129</v>
      </c>
      <c r="G14" s="94">
        <f>$E10*G6/1000</f>
        <v>16278.97435897436</v>
      </c>
      <c r="H14" s="50"/>
      <c r="J14" s="50"/>
      <c r="K14" s="50"/>
      <c r="L14" s="50"/>
      <c r="M14" s="50"/>
      <c r="N14" s="50"/>
      <c r="O14" s="50"/>
    </row>
    <row r="15" spans="2:15" ht="26.25" customHeight="1">
      <c r="B15" s="73" t="s">
        <v>69</v>
      </c>
      <c r="C15" s="77" t="s">
        <v>70</v>
      </c>
      <c r="D15" s="77"/>
      <c r="E15" s="148">
        <v>8</v>
      </c>
      <c r="F15" s="149"/>
      <c r="G15" s="150"/>
      <c r="H15" s="50"/>
      <c r="I15" s="50"/>
      <c r="J15" s="50"/>
      <c r="K15" s="50"/>
      <c r="L15" s="50"/>
      <c r="M15" s="50"/>
      <c r="N15" s="50"/>
      <c r="O15" s="50"/>
    </row>
    <row r="16" spans="2:15" ht="13.5">
      <c r="B16" s="68" t="s">
        <v>71</v>
      </c>
      <c r="C16" s="74" t="s">
        <v>72</v>
      </c>
      <c r="D16" s="95"/>
      <c r="E16" s="96">
        <f>$E15*E6/1000</f>
        <v>7.948717948717949</v>
      </c>
      <c r="F16" s="97">
        <f>$E15*F6/1000</f>
        <v>8.141025641025642</v>
      </c>
      <c r="G16" s="98">
        <f>$E15*G6/1000</f>
        <v>31.794871794871796</v>
      </c>
      <c r="H16" s="50"/>
      <c r="J16" s="50"/>
      <c r="K16" s="50"/>
      <c r="L16" s="50"/>
      <c r="M16" s="50"/>
      <c r="N16" s="50"/>
      <c r="O16" s="50"/>
    </row>
    <row r="17" spans="2:15" ht="13.5" customHeight="1">
      <c r="B17" s="142" t="s">
        <v>73</v>
      </c>
      <c r="C17" s="145" t="s">
        <v>74</v>
      </c>
      <c r="D17" s="81" t="s">
        <v>63</v>
      </c>
      <c r="E17" s="152">
        <f>$E7+E15</f>
        <v>24</v>
      </c>
      <c r="F17" s="153"/>
      <c r="G17" s="154"/>
      <c r="H17" s="50"/>
      <c r="I17" s="50"/>
      <c r="J17" s="50"/>
      <c r="K17" s="50"/>
      <c r="L17" s="50"/>
      <c r="M17" s="50"/>
      <c r="N17" s="50"/>
      <c r="O17" s="50"/>
    </row>
    <row r="18" spans="2:15" ht="12.75">
      <c r="B18" s="143"/>
      <c r="C18" s="146"/>
      <c r="D18" s="53" t="s">
        <v>64</v>
      </c>
      <c r="E18" s="155">
        <f>$E8+E15</f>
        <v>72</v>
      </c>
      <c r="F18" s="156"/>
      <c r="G18" s="157"/>
      <c r="H18" s="50"/>
      <c r="I18" s="50"/>
      <c r="J18" s="50"/>
      <c r="K18" s="50"/>
      <c r="L18" s="50"/>
      <c r="M18" s="50"/>
      <c r="N18" s="50"/>
      <c r="O18" s="50"/>
    </row>
    <row r="19" spans="2:15" ht="12.75">
      <c r="B19" s="143"/>
      <c r="C19" s="146"/>
      <c r="D19" s="53" t="s">
        <v>65</v>
      </c>
      <c r="E19" s="155">
        <f>$E9+E15</f>
        <v>1032</v>
      </c>
      <c r="F19" s="156"/>
      <c r="G19" s="157"/>
      <c r="H19" s="50"/>
      <c r="I19" s="50"/>
      <c r="J19" s="50"/>
      <c r="K19" s="50"/>
      <c r="L19" s="50"/>
      <c r="M19" s="50"/>
      <c r="N19" s="50"/>
      <c r="O19" s="50"/>
    </row>
    <row r="20" spans="2:15" ht="12.75">
      <c r="B20" s="144"/>
      <c r="C20" s="147"/>
      <c r="D20" s="82" t="s">
        <v>66</v>
      </c>
      <c r="E20" s="158">
        <f>$E10+E15</f>
        <v>4104</v>
      </c>
      <c r="F20" s="159"/>
      <c r="G20" s="160"/>
      <c r="H20" s="50"/>
      <c r="I20" s="50"/>
      <c r="J20" s="50"/>
      <c r="K20" s="50"/>
      <c r="L20" s="50"/>
      <c r="M20" s="50"/>
      <c r="N20" s="50"/>
      <c r="O20" s="50"/>
    </row>
    <row r="21" spans="2:15" ht="13.5" customHeight="1">
      <c r="B21" s="142" t="s">
        <v>75</v>
      </c>
      <c r="C21" s="145" t="s">
        <v>76</v>
      </c>
      <c r="D21" s="81" t="s">
        <v>63</v>
      </c>
      <c r="E21" s="86">
        <f>E11+E16</f>
        <v>23.846153846153847</v>
      </c>
      <c r="F21" s="87">
        <f>F11+F16</f>
        <v>24.423076923076927</v>
      </c>
      <c r="G21" s="88">
        <f>G11+G16</f>
        <v>95.38461538461539</v>
      </c>
      <c r="H21" s="50"/>
      <c r="J21" s="50"/>
      <c r="K21" s="50"/>
      <c r="L21" s="50"/>
      <c r="M21" s="50"/>
      <c r="N21" s="50"/>
      <c r="O21" s="50"/>
    </row>
    <row r="22" spans="2:15" ht="12.75">
      <c r="B22" s="143"/>
      <c r="C22" s="146"/>
      <c r="D22" s="53" t="s">
        <v>64</v>
      </c>
      <c r="E22" s="89">
        <f>E12+E16</f>
        <v>71.53846153846155</v>
      </c>
      <c r="F22" s="90">
        <f>F12+F16</f>
        <v>73.26923076923077</v>
      </c>
      <c r="G22" s="91">
        <f>G12+G16</f>
        <v>286.1538461538462</v>
      </c>
      <c r="H22" s="50"/>
      <c r="J22" s="50"/>
      <c r="K22" s="50"/>
      <c r="L22" s="50"/>
      <c r="M22" s="50"/>
      <c r="N22" s="50"/>
      <c r="O22" s="50"/>
    </row>
    <row r="23" spans="2:15" ht="12.75">
      <c r="B23" s="143"/>
      <c r="C23" s="146"/>
      <c r="D23" s="53" t="s">
        <v>65</v>
      </c>
      <c r="E23" s="89">
        <f>E13+E16</f>
        <v>1025.3846153846155</v>
      </c>
      <c r="F23" s="90">
        <f>F13+F16</f>
        <v>1050.1923076923078</v>
      </c>
      <c r="G23" s="91">
        <f>G13+G16</f>
        <v>4101.538461538462</v>
      </c>
      <c r="H23" s="50"/>
      <c r="J23" s="50"/>
      <c r="K23" s="50"/>
      <c r="L23" s="50"/>
      <c r="M23" s="50"/>
      <c r="N23" s="50"/>
      <c r="O23" s="50"/>
    </row>
    <row r="24" spans="2:15" ht="12.75">
      <c r="B24" s="144"/>
      <c r="C24" s="147"/>
      <c r="D24" s="82" t="s">
        <v>66</v>
      </c>
      <c r="E24" s="92">
        <f>E14+E16</f>
        <v>4077.6923076923076</v>
      </c>
      <c r="F24" s="93">
        <f>F14+F16</f>
        <v>4176.346153846154</v>
      </c>
      <c r="G24" s="94" t="s">
        <v>77</v>
      </c>
      <c r="H24" s="50"/>
      <c r="J24" s="50"/>
      <c r="K24" s="50"/>
      <c r="L24" s="50"/>
      <c r="M24" s="50"/>
      <c r="N24" s="50"/>
      <c r="O24" s="50"/>
    </row>
    <row r="25" spans="2:15" ht="12.75" customHeight="1">
      <c r="B25" s="73" t="s">
        <v>78</v>
      </c>
      <c r="C25" s="77" t="s">
        <v>79</v>
      </c>
      <c r="D25" s="77"/>
      <c r="E25" s="148">
        <v>16</v>
      </c>
      <c r="F25" s="149"/>
      <c r="G25" s="150"/>
      <c r="H25" s="50"/>
      <c r="I25" s="50"/>
      <c r="J25" s="50"/>
      <c r="K25" s="50"/>
      <c r="L25" s="50"/>
      <c r="M25" s="50"/>
      <c r="N25" s="50"/>
      <c r="O25" s="50"/>
    </row>
    <row r="26" spans="2:15" ht="13.5">
      <c r="B26" s="73" t="s">
        <v>80</v>
      </c>
      <c r="C26" s="74" t="s">
        <v>81</v>
      </c>
      <c r="D26" s="77"/>
      <c r="E26" s="78">
        <f>$E25*E6*32/(31*1000)</f>
        <v>16.410256410256412</v>
      </c>
      <c r="F26" s="79">
        <f>$E25*F6*32/(31*1000)</f>
        <v>16.807278742762616</v>
      </c>
      <c r="G26" s="80">
        <f>$E25*G6*32/(31*1000)</f>
        <v>65.64102564102565</v>
      </c>
      <c r="H26" s="50"/>
      <c r="J26" s="50"/>
      <c r="K26" s="50"/>
      <c r="L26" s="50"/>
      <c r="M26" s="50"/>
      <c r="N26" s="50"/>
      <c r="O26" s="50"/>
    </row>
    <row r="27" spans="2:15" ht="13.5">
      <c r="B27" s="73" t="s">
        <v>82</v>
      </c>
      <c r="C27" s="74" t="s">
        <v>37</v>
      </c>
      <c r="D27" s="77"/>
      <c r="E27" s="151" t="s">
        <v>83</v>
      </c>
      <c r="F27" s="149"/>
      <c r="G27" s="150"/>
      <c r="H27" s="50"/>
      <c r="I27" s="50"/>
      <c r="J27" s="50"/>
      <c r="K27" s="50"/>
      <c r="L27" s="50"/>
      <c r="M27" s="50"/>
      <c r="N27" s="50"/>
      <c r="O27" s="50"/>
    </row>
    <row r="28" spans="2:15" ht="14.25" thickBot="1">
      <c r="B28" s="99" t="s">
        <v>84</v>
      </c>
      <c r="C28" s="100" t="s">
        <v>85</v>
      </c>
      <c r="D28" s="101"/>
      <c r="E28" s="138" t="s">
        <v>86</v>
      </c>
      <c r="F28" s="139"/>
      <c r="G28" s="140"/>
      <c r="H28" s="50"/>
      <c r="I28" s="50"/>
      <c r="J28" s="50"/>
      <c r="K28" s="50"/>
      <c r="L28" s="50"/>
      <c r="M28" s="50"/>
      <c r="N28" s="50"/>
      <c r="O28" s="50"/>
    </row>
    <row r="29" spans="2:15" ht="12.75">
      <c r="B29" s="141" t="s">
        <v>87</v>
      </c>
      <c r="C29" s="141"/>
      <c r="D29" s="141"/>
      <c r="E29" s="141"/>
      <c r="F29" s="141"/>
      <c r="G29" s="141"/>
      <c r="H29" s="50"/>
      <c r="I29" s="50"/>
      <c r="J29" s="50"/>
      <c r="K29" s="50"/>
      <c r="L29" s="50"/>
      <c r="M29" s="50"/>
      <c r="N29" s="50"/>
      <c r="O29" s="50"/>
    </row>
    <row r="30" spans="2:15" ht="12.75">
      <c r="B30" s="51"/>
      <c r="C30" s="50"/>
      <c r="D30" s="50"/>
      <c r="E30" s="50"/>
      <c r="F30" s="50"/>
      <c r="G30" s="50"/>
      <c r="H30" s="50"/>
      <c r="I30" s="50"/>
      <c r="J30" s="50"/>
      <c r="K30" s="50"/>
      <c r="L30" s="50"/>
      <c r="M30" s="50"/>
      <c r="N30" s="50"/>
      <c r="O30" s="50"/>
    </row>
    <row r="31" spans="2:15" ht="12.75">
      <c r="B31" s="51"/>
      <c r="C31" s="50"/>
      <c r="D31" s="50"/>
      <c r="E31" s="50"/>
      <c r="F31" s="50"/>
      <c r="G31" s="50"/>
      <c r="H31" s="50"/>
      <c r="I31" s="50"/>
      <c r="J31" s="50"/>
      <c r="K31" s="50"/>
      <c r="L31" s="50"/>
      <c r="M31" s="50"/>
      <c r="N31" s="50"/>
      <c r="O31" s="50"/>
    </row>
    <row r="32" spans="2:15" ht="12.75">
      <c r="B32" s="51"/>
      <c r="C32" s="50"/>
      <c r="D32" s="50"/>
      <c r="E32" s="50"/>
      <c r="F32" s="50"/>
      <c r="G32" s="50"/>
      <c r="H32" s="50"/>
      <c r="I32" s="50"/>
      <c r="J32" s="50"/>
      <c r="K32" s="50"/>
      <c r="L32" s="50"/>
      <c r="M32" s="50"/>
      <c r="N32" s="50"/>
      <c r="O32" s="50"/>
    </row>
    <row r="33" spans="2:15" ht="12.75">
      <c r="B33" s="51"/>
      <c r="C33" s="50"/>
      <c r="D33" s="50"/>
      <c r="E33" s="50"/>
      <c r="F33" s="50"/>
      <c r="G33" s="50"/>
      <c r="H33" s="50"/>
      <c r="I33" s="50"/>
      <c r="J33" s="50"/>
      <c r="K33" s="50"/>
      <c r="L33" s="50"/>
      <c r="M33" s="50"/>
      <c r="N33" s="50"/>
      <c r="O33" s="50"/>
    </row>
    <row r="34" spans="2:15" ht="12.75">
      <c r="B34" s="51"/>
      <c r="C34" s="50"/>
      <c r="D34" s="50"/>
      <c r="E34" s="50"/>
      <c r="F34" s="50"/>
      <c r="G34" s="50"/>
      <c r="H34" s="50"/>
      <c r="I34" s="50"/>
      <c r="J34" s="50"/>
      <c r="K34" s="50"/>
      <c r="L34" s="50"/>
      <c r="M34" s="50"/>
      <c r="N34" s="50"/>
      <c r="O34" s="50"/>
    </row>
    <row r="35" spans="2:15" ht="12.75">
      <c r="B35" s="51"/>
      <c r="C35" s="50"/>
      <c r="D35" s="50"/>
      <c r="E35" s="50"/>
      <c r="F35" s="50"/>
      <c r="G35" s="50"/>
      <c r="H35" s="50"/>
      <c r="I35" s="50"/>
      <c r="J35" s="50"/>
      <c r="K35" s="50"/>
      <c r="L35" s="50"/>
      <c r="M35" s="50"/>
      <c r="N35" s="50"/>
      <c r="O35" s="50"/>
    </row>
    <row r="36" spans="2:15" ht="12.75">
      <c r="B36" s="51"/>
      <c r="C36" s="50"/>
      <c r="D36" s="50"/>
      <c r="E36" s="50"/>
      <c r="F36" s="50"/>
      <c r="G36" s="50"/>
      <c r="H36" s="50"/>
      <c r="I36" s="50"/>
      <c r="J36" s="50"/>
      <c r="K36" s="50"/>
      <c r="L36" s="50"/>
      <c r="M36" s="50"/>
      <c r="N36" s="50"/>
      <c r="O36" s="50"/>
    </row>
    <row r="37" spans="2:15" ht="12.75">
      <c r="B37" s="51"/>
      <c r="C37" s="50"/>
      <c r="D37" s="50"/>
      <c r="E37" s="50"/>
      <c r="F37" s="50"/>
      <c r="G37" s="50"/>
      <c r="H37" s="50"/>
      <c r="I37" s="50"/>
      <c r="J37" s="50"/>
      <c r="K37" s="50"/>
      <c r="L37" s="50"/>
      <c r="M37" s="50"/>
      <c r="N37" s="50"/>
      <c r="O37" s="50"/>
    </row>
    <row r="38" spans="2:15" ht="12.75">
      <c r="B38" s="51"/>
      <c r="C38" s="50"/>
      <c r="D38" s="50"/>
      <c r="E38" s="50"/>
      <c r="F38" s="50"/>
      <c r="G38" s="50"/>
      <c r="H38" s="50"/>
      <c r="I38" s="50"/>
      <c r="J38" s="50"/>
      <c r="K38" s="50"/>
      <c r="L38" s="50"/>
      <c r="M38" s="50"/>
      <c r="N38" s="50"/>
      <c r="O38" s="50"/>
    </row>
    <row r="39" spans="2:15" ht="12.75">
      <c r="B39" s="51"/>
      <c r="C39" s="50"/>
      <c r="D39" s="50"/>
      <c r="E39" s="50"/>
      <c r="F39" s="50"/>
      <c r="G39" s="50"/>
      <c r="H39" s="50"/>
      <c r="I39" s="50"/>
      <c r="J39" s="50"/>
      <c r="K39" s="50"/>
      <c r="L39" s="50"/>
      <c r="M39" s="50"/>
      <c r="N39" s="50"/>
      <c r="O39" s="50"/>
    </row>
    <row r="40" spans="2:15" ht="12.75">
      <c r="B40" s="51"/>
      <c r="C40" s="50"/>
      <c r="D40" s="50"/>
      <c r="E40" s="50"/>
      <c r="F40" s="50"/>
      <c r="G40" s="50"/>
      <c r="H40" s="50"/>
      <c r="I40" s="50"/>
      <c r="J40" s="50"/>
      <c r="K40" s="50"/>
      <c r="L40" s="50"/>
      <c r="M40" s="50"/>
      <c r="N40" s="50"/>
      <c r="O40" s="50"/>
    </row>
    <row r="41" spans="2:15" ht="12.75">
      <c r="B41" s="51"/>
      <c r="C41" s="50"/>
      <c r="D41" s="50"/>
      <c r="E41" s="50"/>
      <c r="F41" s="50"/>
      <c r="G41" s="50"/>
      <c r="H41" s="50"/>
      <c r="I41" s="50"/>
      <c r="J41" s="50"/>
      <c r="K41" s="50"/>
      <c r="L41" s="50"/>
      <c r="M41" s="50"/>
      <c r="N41" s="50"/>
      <c r="O41" s="50"/>
    </row>
    <row r="42" spans="2:15" ht="12.75">
      <c r="B42" s="50"/>
      <c r="C42" s="50"/>
      <c r="D42" s="50"/>
      <c r="E42" s="50"/>
      <c r="F42" s="50"/>
      <c r="G42" s="50"/>
      <c r="H42" s="50"/>
      <c r="I42" s="50"/>
      <c r="J42" s="50"/>
      <c r="K42" s="50"/>
      <c r="L42" s="50"/>
      <c r="M42" s="50"/>
      <c r="N42" s="50"/>
      <c r="O42" s="50"/>
    </row>
    <row r="43" spans="2:15" ht="12.75">
      <c r="B43" s="50"/>
      <c r="C43" s="50"/>
      <c r="D43" s="50"/>
      <c r="E43" s="50"/>
      <c r="F43" s="50"/>
      <c r="G43" s="50"/>
      <c r="H43" s="50"/>
      <c r="I43" s="50"/>
      <c r="J43" s="50"/>
      <c r="K43" s="50"/>
      <c r="L43" s="50"/>
      <c r="M43" s="50"/>
      <c r="N43" s="50"/>
      <c r="O43" s="50"/>
    </row>
    <row r="44" spans="2:15" ht="12.75">
      <c r="B44" s="50"/>
      <c r="C44" s="50"/>
      <c r="D44" s="50"/>
      <c r="E44" s="50"/>
      <c r="F44" s="50"/>
      <c r="G44" s="50"/>
      <c r="H44" s="50"/>
      <c r="I44" s="50"/>
      <c r="J44" s="50"/>
      <c r="K44" s="50"/>
      <c r="L44" s="50"/>
      <c r="M44" s="50"/>
      <c r="N44" s="50"/>
      <c r="O44" s="50"/>
    </row>
    <row r="45" spans="2:15" ht="12.75">
      <c r="B45" s="50"/>
      <c r="C45" s="50"/>
      <c r="D45" s="50"/>
      <c r="E45" s="50"/>
      <c r="F45" s="50"/>
      <c r="G45" s="50"/>
      <c r="H45" s="50"/>
      <c r="I45" s="50"/>
      <c r="J45" s="50"/>
      <c r="K45" s="50"/>
      <c r="L45" s="50"/>
      <c r="M45" s="50"/>
      <c r="N45" s="50"/>
      <c r="O45" s="50"/>
    </row>
    <row r="46" spans="2:15" ht="12.75">
      <c r="B46" s="50"/>
      <c r="C46" s="50"/>
      <c r="D46" s="50"/>
      <c r="E46" s="50"/>
      <c r="F46" s="50"/>
      <c r="G46" s="50"/>
      <c r="H46" s="50"/>
      <c r="I46" s="50"/>
      <c r="J46" s="50"/>
      <c r="K46" s="50"/>
      <c r="L46" s="50"/>
      <c r="M46" s="50"/>
      <c r="N46" s="50"/>
      <c r="O46" s="50"/>
    </row>
    <row r="47" spans="2:15" ht="12.75">
      <c r="B47" s="50"/>
      <c r="C47" s="50"/>
      <c r="D47" s="50"/>
      <c r="E47" s="50"/>
      <c r="F47" s="50"/>
      <c r="G47" s="50"/>
      <c r="H47" s="50"/>
      <c r="I47" s="50"/>
      <c r="J47" s="50"/>
      <c r="K47" s="50"/>
      <c r="L47" s="50"/>
      <c r="M47" s="50"/>
      <c r="N47" s="50"/>
      <c r="O47" s="50"/>
    </row>
    <row r="48" spans="2:15" ht="12.75">
      <c r="B48" s="50"/>
      <c r="C48" s="50"/>
      <c r="D48" s="50"/>
      <c r="E48" s="50"/>
      <c r="F48" s="50"/>
      <c r="G48" s="50"/>
      <c r="H48" s="50"/>
      <c r="I48" s="50"/>
      <c r="J48" s="50"/>
      <c r="K48" s="50"/>
      <c r="L48" s="50"/>
      <c r="M48" s="50"/>
      <c r="N48" s="50"/>
      <c r="O48" s="50"/>
    </row>
    <row r="49" spans="2:15" ht="12.75">
      <c r="B49" s="50"/>
      <c r="C49" s="50"/>
      <c r="D49" s="50"/>
      <c r="E49" s="50"/>
      <c r="F49" s="50"/>
      <c r="G49" s="50"/>
      <c r="H49" s="50"/>
      <c r="I49" s="50"/>
      <c r="J49" s="50"/>
      <c r="K49" s="50"/>
      <c r="L49" s="50"/>
      <c r="M49" s="50"/>
      <c r="N49" s="50"/>
      <c r="O49" s="50"/>
    </row>
    <row r="50" spans="2:15" ht="12.75">
      <c r="B50" s="50"/>
      <c r="C50" s="50"/>
      <c r="D50" s="50"/>
      <c r="E50" s="50"/>
      <c r="F50" s="50"/>
      <c r="G50" s="50"/>
      <c r="H50" s="50"/>
      <c r="I50" s="50"/>
      <c r="J50" s="50"/>
      <c r="K50" s="50"/>
      <c r="L50" s="50"/>
      <c r="M50" s="50"/>
      <c r="N50" s="50"/>
      <c r="O50" s="50"/>
    </row>
    <row r="51" spans="2:15" ht="12.75">
      <c r="B51" s="50"/>
      <c r="C51" s="50"/>
      <c r="D51" s="50"/>
      <c r="E51" s="50"/>
      <c r="F51" s="50"/>
      <c r="G51" s="50"/>
      <c r="H51" s="50"/>
      <c r="I51" s="50"/>
      <c r="J51" s="50"/>
      <c r="K51" s="50"/>
      <c r="L51" s="50"/>
      <c r="M51" s="50"/>
      <c r="N51" s="50"/>
      <c r="O51" s="50"/>
    </row>
    <row r="52" spans="2:15" ht="12.75">
      <c r="B52" s="50"/>
      <c r="C52" s="50"/>
      <c r="D52" s="50"/>
      <c r="E52" s="50"/>
      <c r="F52" s="50"/>
      <c r="G52" s="50"/>
      <c r="H52" s="50"/>
      <c r="I52" s="50"/>
      <c r="J52" s="50"/>
      <c r="K52" s="50"/>
      <c r="L52" s="50"/>
      <c r="M52" s="50"/>
      <c r="N52" s="50"/>
      <c r="O52" s="50"/>
    </row>
    <row r="53" spans="2:15" ht="12.75">
      <c r="B53" s="50"/>
      <c r="C53" s="50"/>
      <c r="D53" s="50"/>
      <c r="E53" s="50"/>
      <c r="F53" s="50"/>
      <c r="G53" s="50"/>
      <c r="H53" s="50"/>
      <c r="I53" s="50"/>
      <c r="J53" s="50"/>
      <c r="K53" s="50"/>
      <c r="L53" s="50"/>
      <c r="M53" s="50"/>
      <c r="N53" s="50"/>
      <c r="O53" s="50"/>
    </row>
    <row r="54" spans="2:15" ht="12.75">
      <c r="B54" s="50"/>
      <c r="C54" s="50"/>
      <c r="D54" s="50"/>
      <c r="E54" s="50"/>
      <c r="F54" s="50"/>
      <c r="G54" s="50"/>
      <c r="H54" s="50"/>
      <c r="I54" s="50"/>
      <c r="J54" s="50"/>
      <c r="K54" s="50"/>
      <c r="L54" s="50"/>
      <c r="M54" s="50"/>
      <c r="N54" s="50"/>
      <c r="O54" s="50"/>
    </row>
    <row r="55" spans="2:15" ht="12.75">
      <c r="B55" s="50"/>
      <c r="C55" s="50"/>
      <c r="D55" s="50"/>
      <c r="E55" s="50"/>
      <c r="F55" s="50"/>
      <c r="G55" s="50"/>
      <c r="H55" s="50"/>
      <c r="I55" s="50"/>
      <c r="J55" s="50"/>
      <c r="K55" s="50"/>
      <c r="L55" s="50"/>
      <c r="M55" s="50"/>
      <c r="N55" s="50"/>
      <c r="O55" s="50"/>
    </row>
    <row r="56" spans="9:15" ht="12.75">
      <c r="I56" s="50"/>
      <c r="J56" s="50"/>
      <c r="K56" s="50"/>
      <c r="L56" s="50"/>
      <c r="M56" s="50"/>
      <c r="N56" s="50"/>
      <c r="O56" s="50"/>
    </row>
    <row r="57" ht="12.75">
      <c r="O57" s="50"/>
    </row>
    <row r="58" ht="12.75">
      <c r="O58" s="50"/>
    </row>
    <row r="59" ht="12.75">
      <c r="O59" s="50"/>
    </row>
    <row r="60" ht="12.75">
      <c r="O60" s="50"/>
    </row>
  </sheetData>
  <mergeCells count="24">
    <mergeCell ref="C2:D2"/>
    <mergeCell ref="E2:G2"/>
    <mergeCell ref="E3:F3"/>
    <mergeCell ref="B7:B10"/>
    <mergeCell ref="C7:C10"/>
    <mergeCell ref="E7:G7"/>
    <mergeCell ref="E8:G8"/>
    <mergeCell ref="E9:G9"/>
    <mergeCell ref="E10:G10"/>
    <mergeCell ref="B11:B14"/>
    <mergeCell ref="C11:C14"/>
    <mergeCell ref="E15:G15"/>
    <mergeCell ref="B17:B20"/>
    <mergeCell ref="C17:C20"/>
    <mergeCell ref="E17:G17"/>
    <mergeCell ref="E18:G18"/>
    <mergeCell ref="E19:G19"/>
    <mergeCell ref="E20:G20"/>
    <mergeCell ref="E28:G28"/>
    <mergeCell ref="B29:G29"/>
    <mergeCell ref="B21:B24"/>
    <mergeCell ref="C21:C24"/>
    <mergeCell ref="E25:G25"/>
    <mergeCell ref="E27:G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Mc Laughlin</dc:creator>
  <cp:keywords/>
  <dc:description/>
  <cp:lastModifiedBy>Michael</cp:lastModifiedBy>
  <dcterms:created xsi:type="dcterms:W3CDTF">2006-02-15T17:45:26Z</dcterms:created>
  <dcterms:modified xsi:type="dcterms:W3CDTF">2006-07-20T21:41:36Z</dcterms:modified>
  <cp:category/>
  <cp:version/>
  <cp:contentType/>
  <cp:contentStatus/>
</cp:coreProperties>
</file>