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20" windowHeight="8580" activeTab="0"/>
  </bookViews>
  <sheets>
    <sheet name="Cover" sheetId="1" r:id="rId1"/>
    <sheet name="Parameters Length 31 Preamble" sheetId="2" r:id="rId2"/>
    <sheet name="Values" sheetId="3" r:id="rId3"/>
  </sheets>
  <definedNames/>
  <calcPr fullCalcOnLoad="1"/>
</workbook>
</file>

<file path=xl/comments2.xml><?xml version="1.0" encoding="utf-8"?>
<comments xmlns="http://schemas.openxmlformats.org/spreadsheetml/2006/main">
  <authors>
    <author>Philip Orlik</author>
  </authors>
  <commentList>
    <comment ref="B3" authorId="0">
      <text>
        <r>
          <rPr>
            <b/>
            <sz val="10"/>
            <rFont val="Tahoma"/>
            <family val="2"/>
          </rPr>
          <t>Philip Orlik:</t>
        </r>
        <r>
          <rPr>
            <sz val="10"/>
            <rFont val="Tahoma"/>
            <family val="2"/>
          </rPr>
          <t xml:space="preserve">
NOTE:  These refer to the channel numbers in clause 6.1.2.1b "Channel numbering for UWB PHY"</t>
        </r>
      </text>
    </comment>
    <comment ref="D3" authorId="0">
      <text>
        <r>
          <rPr>
            <b/>
            <sz val="8"/>
            <rFont val="Tahoma"/>
            <family val="0"/>
          </rPr>
          <t>Philip Orlik:</t>
        </r>
        <r>
          <rPr>
            <sz val="8"/>
            <rFont val="Tahoma"/>
            <family val="0"/>
          </rPr>
          <t xml:space="preserve">
NOTE:  FEC is contenated coding with outer code RS(63,55) and inner code rate 1/2 convolutional.  The RS code can be shortened as desired when fewer than 55 6-bit words are needed</t>
        </r>
      </text>
    </comment>
    <comment ref="H3" authorId="0">
      <text>
        <r>
          <rPr>
            <b/>
            <sz val="8"/>
            <rFont val="Tahoma"/>
            <family val="0"/>
          </rPr>
          <t>Philip Orlik:</t>
        </r>
        <r>
          <rPr>
            <sz val="8"/>
            <rFont val="Tahoma"/>
            <family val="0"/>
          </rPr>
          <t xml:space="preserve">
This is also equivalent to the chipping rate in the band</t>
        </r>
      </text>
    </comment>
    <comment ref="I26" authorId="0">
      <text>
        <r>
          <rPr>
            <b/>
            <sz val="8"/>
            <rFont val="Tahoma"/>
            <family val="0"/>
          </rPr>
          <t>Philip Orlik:</t>
        </r>
        <r>
          <rPr>
            <sz val="8"/>
            <rFont val="Tahoma"/>
            <family val="0"/>
          </rPr>
          <t xml:space="preserve">
Chipping rate is much higher.  I'm keeping the PRF equivalent to the (chipping rate)/(number of pulses in the preamble)/3.  This keeps the data rates about the same as the in the low bands and gets about as close to 15.94 and 3.98 MHZ mean PRF as possible with integer divisions</t>
        </r>
      </text>
    </comment>
  </commentList>
</comments>
</file>

<file path=xl/comments3.xml><?xml version="1.0" encoding="utf-8"?>
<comments xmlns="http://schemas.openxmlformats.org/spreadsheetml/2006/main">
  <authors>
    <author>CEA</author>
  </authors>
  <commentList>
    <comment ref="L9" authorId="0">
      <text>
        <r>
          <rPr>
            <b/>
            <sz val="8"/>
            <rFont val="Tahoma"/>
            <family val="0"/>
          </rPr>
          <t>CEA:</t>
        </r>
        <r>
          <rPr>
            <sz val="8"/>
            <rFont val="Tahoma"/>
            <family val="0"/>
          </rPr>
          <t xml:space="preserve">
In fact there is only 1 pulse which means the mean PRF for the data part is 4 times bigger than for the preamble part</t>
        </r>
      </text>
    </comment>
    <comment ref="L12" authorId="0">
      <text>
        <r>
          <rPr>
            <b/>
            <sz val="8"/>
            <rFont val="Tahoma"/>
            <family val="0"/>
          </rPr>
          <t>CEA:</t>
        </r>
        <r>
          <rPr>
            <sz val="8"/>
            <rFont val="Tahoma"/>
            <family val="0"/>
          </rPr>
          <t xml:space="preserve">
In fact there is only 1 pulse which means the mean PRF for the data part is 4 times bigger than for the preamble part</t>
        </r>
      </text>
    </comment>
    <comment ref="A8" authorId="0">
      <text>
        <r>
          <rPr>
            <b/>
            <sz val="8"/>
            <rFont val="Tahoma"/>
            <family val="0"/>
          </rPr>
          <t>CEA:</t>
        </r>
        <r>
          <rPr>
            <sz val="8"/>
            <rFont val="Tahoma"/>
            <family val="0"/>
          </rPr>
          <t xml:space="preserve">
Bit rate is doubled "bypassing" the viterbi</t>
        </r>
      </text>
    </comment>
  </commentList>
</comments>
</file>

<file path=xl/sharedStrings.xml><?xml version="1.0" encoding="utf-8"?>
<sst xmlns="http://schemas.openxmlformats.org/spreadsheetml/2006/main" count="146" uniqueCount="73">
  <si>
    <t>Modulation</t>
  </si>
  <si>
    <t>2PPM + BPSK</t>
  </si>
  <si>
    <t>FEC</t>
  </si>
  <si>
    <t>Mean PRF (MHz)</t>
  </si>
  <si>
    <t>Symbol rate (MSps)</t>
  </si>
  <si>
    <t>Symbol duration (us)</t>
  </si>
  <si>
    <t>Useful Bit rate (Mbps)</t>
  </si>
  <si>
    <t>Channel Bit rate (Mbps)</t>
  </si>
  <si>
    <t>Peak PRF (MHz)</t>
  </si>
  <si>
    <t>Burst length chips, binary)</t>
  </si>
  <si>
    <t>Bits/symb seen by coherent Rx</t>
  </si>
  <si>
    <t>Bits/symb seen by non coherent Rx</t>
  </si>
  <si>
    <t>Total coding rate</t>
  </si>
  <si>
    <t>RS 0.84 + CC 1/2</t>
  </si>
  <si>
    <t>Code length</t>
  </si>
  <si>
    <t>Non null values in the code</t>
  </si>
  <si>
    <t>Code duration (us)</t>
  </si>
  <si>
    <t>Burst duration (ns)</t>
  </si>
  <si>
    <t>Chips per symbol</t>
  </si>
  <si>
    <t>FEC RATE</t>
  </si>
  <si>
    <t>Preamble code length</t>
  </si>
  <si>
    <t>Non zero values</t>
  </si>
  <si>
    <t>Channel Number</t>
  </si>
  <si>
    <t>Pulses Per Burst</t>
  </si>
  <si>
    <t>NOTE:  FEC is contenated coding with outer code RS(63,55) and inner code rate 1/2 convolutional</t>
  </si>
  <si>
    <t>Peak PRF MHz (during modulation)</t>
  </si>
  <si>
    <t>MODULATION PARAMETERS</t>
  </si>
  <si>
    <t>Symbol Duration (us)</t>
  </si>
  <si>
    <t>Chips Per Symbol</t>
  </si>
  <si>
    <t>Symbol Rate (MHz)</t>
  </si>
  <si>
    <t>USEFUL DATA RATE Mbps</t>
  </si>
  <si>
    <t>Preamble Code Duration (ns)</t>
  </si>
  <si>
    <t>Peak PRF (during Preamble) (MHz)</t>
  </si>
  <si>
    <t>Mean PRF (same for Preamble and modulation) (MHz)</t>
  </si>
  <si>
    <r>
      <t>Number of hopping slots, N</t>
    </r>
    <r>
      <rPr>
        <b/>
        <vertAlign val="subscript"/>
        <sz val="9"/>
        <rFont val="Arial"/>
        <family val="2"/>
      </rPr>
      <t>slot</t>
    </r>
  </si>
  <si>
    <r>
      <t xml:space="preserve">Burst Duration, </t>
    </r>
    <r>
      <rPr>
        <b/>
        <i/>
        <sz val="9"/>
        <rFont val="Arial"/>
        <family val="2"/>
      </rPr>
      <t>T</t>
    </r>
    <r>
      <rPr>
        <b/>
        <i/>
        <vertAlign val="subscript"/>
        <sz val="9"/>
        <rFont val="Arial"/>
        <family val="2"/>
      </rPr>
      <t>burst</t>
    </r>
    <r>
      <rPr>
        <b/>
        <sz val="9"/>
        <rFont val="Arial"/>
        <family val="2"/>
      </rPr>
      <t xml:space="preserve"> (ns)</t>
    </r>
  </si>
  <si>
    <r>
      <t xml:space="preserve">Chip Duration, </t>
    </r>
    <r>
      <rPr>
        <b/>
        <i/>
        <sz val="9"/>
        <rFont val="Arial"/>
        <family val="2"/>
      </rPr>
      <t>T</t>
    </r>
    <r>
      <rPr>
        <b/>
        <i/>
        <vertAlign val="subscript"/>
        <sz val="9"/>
        <rFont val="Arial"/>
        <family val="2"/>
      </rPr>
      <t>c</t>
    </r>
    <r>
      <rPr>
        <b/>
        <sz val="9"/>
        <rFont val="Arial"/>
        <family val="2"/>
      </rPr>
      <t xml:space="preserve"> (ns)</t>
    </r>
  </si>
  <si>
    <t>{1,2,3}</t>
  </si>
  <si>
    <t>NOTE:  These refer to the channel numbers in clause 6.1.2.1b "Channel numbering for UWB PHY"</t>
  </si>
  <si>
    <t>{4}</t>
  </si>
  <si>
    <t>Preamble Parameters</t>
  </si>
  <si>
    <t>{5,6,...,12}</t>
  </si>
  <si>
    <t>{13}</t>
  </si>
  <si>
    <t>{14}</t>
  </si>
  <si>
    <t>{15}</t>
  </si>
  <si>
    <t xml:space="preserve">BPPM + BPSK (Bits/Sym) </t>
  </si>
  <si>
    <r>
      <t xml:space="preserve">PPM duration, </t>
    </r>
    <r>
      <rPr>
        <b/>
        <i/>
        <sz val="9"/>
        <rFont val="Arial"/>
        <family val="2"/>
      </rPr>
      <t>T</t>
    </r>
    <r>
      <rPr>
        <b/>
        <i/>
        <vertAlign val="subscript"/>
        <sz val="9"/>
        <rFont val="Arial"/>
        <family val="2"/>
      </rPr>
      <t>PPM</t>
    </r>
    <r>
      <rPr>
        <b/>
        <sz val="9"/>
        <rFont val="Arial"/>
        <family val="2"/>
      </rPr>
      <t xml:space="preserve"> (us)</t>
    </r>
  </si>
  <si>
    <t>IEEE P802.15</t>
  </si>
  <si>
    <t>Wireless Personal Area Networks</t>
  </si>
  <si>
    <t>Project</t>
  </si>
  <si>
    <t>IEEE P802.15 Working Group for Wireless Personal Area Networks (WPANs)</t>
  </si>
  <si>
    <t>Title</t>
  </si>
  <si>
    <t>Pulse Compression Criteria</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</si>
  <si>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</si>
  <si>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</si>
  <si>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</si>
  <si>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</si>
  <si>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</si>
  <si>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</si>
  <si>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</si>
  <si>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</si>
  <si>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</si>
  <si>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[Nov. 28, 2005]</t>
  </si>
  <si>
    <t>Philip Orlik</t>
  </si>
  <si>
    <t>MERL</t>
  </si>
  <si>
    <t>[802.15.4a] -UWB PHY preamble and modulation symbol options</t>
  </si>
  <si>
    <t>Spreadsheet for Preamble and Modulation parameter computation</t>
  </si>
  <si>
    <t>List all possible preamble and modulation timing parameters for the various bandwidths, data rates, and average PRFs</t>
  </si>
  <si>
    <t>Voice: (617) 621-7570</t>
  </si>
  <si>
    <t>Fax:</t>
  </si>
  <si>
    <t>E-mail:porlik@merl.com</t>
  </si>
  <si>
    <t>Cambridge, MA 02139</t>
  </si>
  <si>
    <t>IEEE P802.15-05-0731-00-004a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</si>
</sst>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000"/>
    <numFmt numFmtId="181" formatCode="0.000000"/>
    <numFmt numFmtId="182" formatCode="0.00000"/>
    <numFmt numFmtId="183" formatCode="0.0000"/>
    <numFmt numFmtId="184" formatCode="0.000"/>
    <numFmt numFmtId="185" formatCode="0.0"/>
    <numFmt numFmtId="186" formatCode="mmmm\ yyyy"/>
  </numFmts>
  <fonts count="23">
    <font>
      <sz val="10"/>
      <name val="Arial"/>
      <family val="0"/>
    </font>
    <font>
      <sz val="8"/>
      <name val="Tahoma"/>
      <family val="0"/>
    </font>
    <font>
      <b/>
      <sz val="8"/>
      <name val="Tahoma"/>
      <family val="0"/>
    </font>
    <font>
      <b/>
      <sz val="10"/>
      <name val="Arial"/>
      <family val="2"/>
    </font>
    <font>
      <sz val="10"/>
      <color indexed="55"/>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8"/>
      <name val="Arial"/>
      <family val="0"/>
    </font>
    <font>
      <b/>
      <sz val="9"/>
      <name val="Arial"/>
      <family val="2"/>
    </font>
    <font>
      <b/>
      <vertAlign val="subscript"/>
      <sz val="9"/>
      <name val="Arial"/>
      <family val="2"/>
    </font>
    <font>
      <b/>
      <i/>
      <sz val="9"/>
      <name val="Arial"/>
      <family val="2"/>
    </font>
    <font>
      <b/>
      <i/>
      <vertAlign val="subscript"/>
      <sz val="9"/>
      <name val="Arial"/>
      <family val="2"/>
    </font>
    <font>
      <b/>
      <sz val="9"/>
      <color indexed="12"/>
      <name val="Arial"/>
      <family val="2"/>
    </font>
    <font>
      <sz val="10"/>
      <color indexed="20"/>
      <name val="Arial"/>
      <family val="0"/>
    </font>
    <font>
      <b/>
      <sz val="10"/>
      <name val="Tahoma"/>
      <family val="2"/>
    </font>
    <font>
      <sz val="10"/>
      <name val="Tahoma"/>
      <family val="2"/>
    </font>
    <font>
      <b/>
      <sz val="12"/>
      <name val="Times New Roman"/>
      <family val="1"/>
    </font>
    <font>
      <sz val="20"/>
      <name val="Times New Roman"/>
      <family val="1"/>
    </font>
    <font>
      <b/>
      <sz val="14"/>
      <name val="Times New Roman"/>
      <family val="1"/>
    </font>
    <font>
      <sz val="12"/>
      <name val="Times New Roman"/>
      <family val="1"/>
    </font>
    <font>
      <b/>
      <sz val="8"/>
      <name val="Arial"/>
      <family val="2"/>
    </font>
  </fonts>
  <fills count="2">
    <fill>
      <patternFill/>
    </fill>
    <fill>
      <patternFill patternType="gray125"/>
    </fill>
  </fills>
  <borders count="2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wrapText="1"/>
    </xf>
    <xf numFmtId="0" fontId="3"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12" fontId="5"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xf>
    <xf numFmtId="0" fontId="5" fillId="0" borderId="0" xfId="0" applyFont="1" applyAlignment="1">
      <alignment wrapText="1"/>
    </xf>
    <xf numFmtId="0" fontId="6" fillId="0" borderId="0" xfId="0" applyFont="1" applyAlignment="1">
      <alignment wrapText="1"/>
    </xf>
    <xf numFmtId="0" fontId="5" fillId="0" borderId="0" xfId="0" applyFont="1" applyAlignment="1">
      <alignment/>
    </xf>
    <xf numFmtId="0" fontId="5" fillId="0" borderId="0" xfId="0" applyFont="1" applyAlignment="1">
      <alignment horizontal="center"/>
    </xf>
    <xf numFmtId="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left"/>
    </xf>
    <xf numFmtId="0" fontId="5" fillId="0" borderId="0" xfId="0" applyFont="1" applyFill="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xf>
    <xf numFmtId="0" fontId="10" fillId="0" borderId="0" xfId="0" applyFont="1" applyAlignment="1">
      <alignment wrapText="1"/>
    </xf>
    <xf numFmtId="0" fontId="14" fillId="0" borderId="1" xfId="0" applyFont="1" applyBorder="1" applyAlignment="1">
      <alignment wrapText="1"/>
    </xf>
    <xf numFmtId="0" fontId="14" fillId="0" borderId="2"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0" fillId="0" borderId="4" xfId="0" applyBorder="1" applyAlignment="1">
      <alignment wrapText="1"/>
    </xf>
    <xf numFmtId="0" fontId="3" fillId="0" borderId="5"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3" fillId="0" borderId="0" xfId="0" applyFont="1" applyBorder="1" applyAlignment="1">
      <alignment wrapText="1"/>
    </xf>
    <xf numFmtId="0" fontId="0" fillId="0" borderId="0" xfId="0" applyBorder="1" applyAlignment="1">
      <alignment wrapText="1"/>
    </xf>
    <xf numFmtId="0" fontId="0" fillId="0" borderId="8" xfId="0" applyBorder="1" applyAlignment="1">
      <alignment wrapText="1"/>
    </xf>
    <xf numFmtId="0" fontId="3" fillId="0" borderId="0" xfId="0" applyNumberFormat="1" applyFont="1" applyBorder="1" applyAlignment="1">
      <alignment wrapText="1"/>
    </xf>
    <xf numFmtId="0" fontId="0" fillId="0" borderId="9" xfId="0" applyBorder="1" applyAlignment="1">
      <alignment wrapText="1"/>
    </xf>
    <xf numFmtId="0" fontId="3"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3" fillId="0" borderId="13"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3" fillId="0" borderId="13" xfId="0" applyNumberFormat="1" applyFont="1" applyBorder="1" applyAlignment="1">
      <alignment wrapText="1"/>
    </xf>
    <xf numFmtId="0" fontId="15" fillId="0" borderId="0" xfId="0" applyFont="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wrapText="1"/>
    </xf>
    <xf numFmtId="0" fontId="3" fillId="0" borderId="12" xfId="0" applyFont="1" applyBorder="1" applyAlignment="1">
      <alignment wrapText="1"/>
    </xf>
    <xf numFmtId="0" fontId="3" fillId="0" borderId="7" xfId="0" applyFont="1" applyBorder="1" applyAlignment="1">
      <alignment wrapText="1"/>
    </xf>
    <xf numFmtId="0" fontId="3" fillId="0" borderId="9" xfId="0" applyFont="1" applyBorder="1" applyAlignment="1">
      <alignment wrapText="1"/>
    </xf>
    <xf numFmtId="0" fontId="15" fillId="0" borderId="4" xfId="0" applyFont="1" applyBorder="1" applyAlignment="1">
      <alignment wrapText="1"/>
    </xf>
    <xf numFmtId="0" fontId="15" fillId="0" borderId="12" xfId="0" applyFont="1" applyBorder="1" applyAlignment="1">
      <alignment wrapText="1"/>
    </xf>
    <xf numFmtId="0" fontId="15" fillId="0" borderId="7" xfId="0" applyFont="1" applyBorder="1" applyAlignment="1">
      <alignment wrapText="1"/>
    </xf>
    <xf numFmtId="0" fontId="15" fillId="0" borderId="9" xfId="0" applyFont="1" applyBorder="1" applyAlignment="1">
      <alignment wrapText="1"/>
    </xf>
    <xf numFmtId="0" fontId="10" fillId="0" borderId="1"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11" xfId="0" applyFont="1" applyBorder="1" applyAlignment="1">
      <alignment wrapText="1"/>
    </xf>
    <xf numFmtId="0" fontId="0" fillId="0" borderId="15" xfId="0" applyBorder="1" applyAlignment="1">
      <alignment wrapText="1"/>
    </xf>
    <xf numFmtId="0" fontId="3" fillId="0" borderId="16" xfId="0" applyFont="1" applyBorder="1" applyAlignment="1">
      <alignment wrapText="1"/>
    </xf>
    <xf numFmtId="0" fontId="3"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15" fillId="0" borderId="15" xfId="0" applyFont="1" applyBorder="1" applyAlignment="1">
      <alignment wrapText="1"/>
    </xf>
    <xf numFmtId="0" fontId="3" fillId="0" borderId="16" xfId="0" applyNumberFormat="1" applyFont="1" applyBorder="1" applyAlignment="1">
      <alignment wrapText="1"/>
    </xf>
    <xf numFmtId="186" fontId="18" fillId="0" borderId="0" xfId="0" applyNumberFormat="1" applyFont="1" applyBorder="1" applyAlignment="1" quotePrefix="1">
      <alignment horizontal="left"/>
    </xf>
    <xf numFmtId="0" fontId="19" fillId="0" borderId="0" xfId="0" applyFont="1" applyBorder="1" applyAlignment="1">
      <alignment/>
    </xf>
    <xf numFmtId="0" fontId="18" fillId="0" borderId="0" xfId="0" applyFont="1" applyBorder="1" applyAlignment="1">
      <alignment horizontal="right"/>
    </xf>
    <xf numFmtId="0" fontId="0" fillId="0" borderId="0" xfId="0" applyBorder="1" applyAlignment="1">
      <alignment/>
    </xf>
    <xf numFmtId="0" fontId="20" fillId="0" borderId="0" xfId="0" applyFont="1" applyBorder="1" applyAlignment="1">
      <alignment horizontal="center"/>
    </xf>
    <xf numFmtId="0" fontId="21" fillId="0" borderId="18" xfId="0" applyFont="1" applyBorder="1" applyAlignment="1">
      <alignment vertical="top" wrapText="1"/>
    </xf>
    <xf numFmtId="0" fontId="21" fillId="0" borderId="18" xfId="0" applyFont="1" applyBorder="1" applyAlignment="1">
      <alignment vertical="top" wrapText="1"/>
    </xf>
    <xf numFmtId="0" fontId="21" fillId="0" borderId="19" xfId="0" applyFont="1" applyBorder="1" applyAlignment="1">
      <alignment vertical="top" wrapText="1"/>
    </xf>
    <xf numFmtId="0" fontId="20" fillId="0" borderId="19" xfId="0" applyFont="1" applyBorder="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0" fillId="0" borderId="19" xfId="0" applyBorder="1" applyAlignment="1">
      <alignment/>
    </xf>
    <xf numFmtId="0" fontId="21" fillId="0" borderId="21" xfId="0" applyFont="1" applyBorder="1" applyAlignment="1">
      <alignment vertical="top" wrapText="1"/>
    </xf>
    <xf numFmtId="0" fontId="21" fillId="0" borderId="22" xfId="0" applyFont="1" applyBorder="1" applyAlignment="1">
      <alignment vertical="top" wrapText="1"/>
    </xf>
    <xf numFmtId="0" fontId="0" fillId="0" borderId="19" xfId="0" applyBorder="1" applyAlignment="1">
      <alignment vertical="top" wrapText="1"/>
    </xf>
    <xf numFmtId="0" fontId="21" fillId="0" borderId="23"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C1" sqref="C1"/>
    </sheetView>
  </sheetViews>
  <sheetFormatPr defaultColWidth="9.140625" defaultRowHeight="12.75"/>
  <cols>
    <col min="1" max="1" width="18.140625" style="0" customWidth="1"/>
    <col min="2" max="2" width="28.140625" style="0" customWidth="1"/>
    <col min="3" max="3" width="58.00390625" style="0" customWidth="1"/>
  </cols>
  <sheetData>
    <row r="1" spans="1:3" ht="26.25">
      <c r="A1" s="73">
        <v>38684</v>
      </c>
      <c r="B1" s="74"/>
      <c r="C1" s="75" t="s">
        <v>72</v>
      </c>
    </row>
    <row r="2" spans="1:3" ht="12.75">
      <c r="A2" s="76"/>
      <c r="B2" s="76"/>
      <c r="C2" s="76"/>
    </row>
    <row r="3" spans="1:3" ht="18.75">
      <c r="A3" s="76"/>
      <c r="B3" s="77" t="s">
        <v>47</v>
      </c>
      <c r="C3" s="76"/>
    </row>
    <row r="4" spans="1:3" ht="18.75">
      <c r="A4" s="76"/>
      <c r="B4" s="77" t="s">
        <v>48</v>
      </c>
      <c r="C4" s="76"/>
    </row>
    <row r="5" spans="1:3" ht="18.75">
      <c r="A5" s="77"/>
      <c r="B5" s="76"/>
      <c r="C5" s="76"/>
    </row>
    <row r="6" spans="1:3" ht="15.75">
      <c r="A6" s="78" t="s">
        <v>49</v>
      </c>
      <c r="B6" s="79" t="s">
        <v>50</v>
      </c>
      <c r="C6" s="79"/>
    </row>
    <row r="7" spans="1:3" ht="18.75">
      <c r="A7" s="80" t="s">
        <v>51</v>
      </c>
      <c r="B7" s="81" t="s">
        <v>52</v>
      </c>
      <c r="C7" s="81"/>
    </row>
    <row r="8" spans="1:3" ht="15.75">
      <c r="A8" s="80" t="s">
        <v>53</v>
      </c>
      <c r="B8" s="82" t="s">
        <v>62</v>
      </c>
      <c r="C8" s="82"/>
    </row>
    <row r="9" spans="1:3" ht="15.75">
      <c r="A9" s="82" t="s">
        <v>54</v>
      </c>
      <c r="B9" s="83" t="s">
        <v>63</v>
      </c>
      <c r="C9" s="83" t="s">
        <v>68</v>
      </c>
    </row>
    <row r="10" spans="1:3" ht="15.75">
      <c r="A10" s="84"/>
      <c r="B10" s="85" t="s">
        <v>64</v>
      </c>
      <c r="C10" s="85" t="s">
        <v>69</v>
      </c>
    </row>
    <row r="11" spans="1:3" ht="15.75">
      <c r="A11" s="84"/>
      <c r="B11" s="86"/>
      <c r="C11" s="86" t="s">
        <v>70</v>
      </c>
    </row>
    <row r="12" spans="1:3" ht="15.75">
      <c r="A12" s="84"/>
      <c r="B12" s="80" t="s">
        <v>71</v>
      </c>
      <c r="C12" s="87"/>
    </row>
    <row r="13" spans="1:3" ht="47.25">
      <c r="A13" s="88" t="s">
        <v>55</v>
      </c>
      <c r="B13" s="88" t="s">
        <v>65</v>
      </c>
      <c r="C13" s="88"/>
    </row>
    <row r="14" spans="1:3" ht="15.75">
      <c r="A14" s="80" t="s">
        <v>56</v>
      </c>
      <c r="B14" s="82" t="s">
        <v>66</v>
      </c>
      <c r="C14" s="82"/>
    </row>
    <row r="15" spans="1:3" ht="15.75">
      <c r="A15" s="80" t="s">
        <v>57</v>
      </c>
      <c r="B15" s="82" t="s">
        <v>67</v>
      </c>
      <c r="C15" s="82"/>
    </row>
    <row r="16" spans="1:3" ht="50.25" customHeight="1">
      <c r="A16" s="80" t="s">
        <v>58</v>
      </c>
      <c r="B16" s="82" t="s">
        <v>59</v>
      </c>
      <c r="C16" s="82"/>
    </row>
    <row r="17" spans="1:3" ht="45.75" customHeight="1">
      <c r="A17" s="80" t="s">
        <v>60</v>
      </c>
      <c r="B17" s="82" t="s">
        <v>61</v>
      </c>
      <c r="C17" s="82"/>
    </row>
  </sheetData>
  <mergeCells count="8">
    <mergeCell ref="B14:C14"/>
    <mergeCell ref="B15:C15"/>
    <mergeCell ref="B16:C16"/>
    <mergeCell ref="B17:C17"/>
    <mergeCell ref="B6:C6"/>
    <mergeCell ref="B7:C7"/>
    <mergeCell ref="B8:C8"/>
    <mergeCell ref="A9:A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AD73"/>
  <sheetViews>
    <sheetView workbookViewId="0" topLeftCell="A1">
      <selection activeCell="S3" sqref="S3"/>
    </sheetView>
  </sheetViews>
  <sheetFormatPr defaultColWidth="9.140625" defaultRowHeight="12.75"/>
  <cols>
    <col min="1" max="1" width="9.140625" style="1" customWidth="1"/>
    <col min="2" max="2" width="9.28125" style="1" customWidth="1"/>
    <col min="3" max="3" width="9.8515625" style="1" customWidth="1"/>
    <col min="4" max="4" width="8.8515625" style="1" customWidth="1"/>
    <col min="5" max="5" width="9.140625" style="1" customWidth="1"/>
    <col min="6" max="6" width="7.8515625" style="1" customWidth="1"/>
    <col min="7" max="7" width="9.140625" style="1" customWidth="1"/>
    <col min="8" max="8" width="10.7109375" style="1" customWidth="1"/>
    <col min="9" max="9" width="9.8515625" style="1" customWidth="1"/>
    <col min="10" max="10" width="10.7109375" style="1" customWidth="1"/>
    <col min="11" max="11" width="11.57421875" style="1" bestFit="1" customWidth="1"/>
    <col min="12" max="12" width="1.421875" style="1" customWidth="1"/>
    <col min="13" max="13" width="11.57421875" style="1" bestFit="1" customWidth="1"/>
    <col min="14" max="15" width="10.57421875" style="1" customWidth="1"/>
    <col min="16" max="16" width="11.57421875" style="1" customWidth="1"/>
    <col min="17" max="17" width="7.140625" style="1" customWidth="1"/>
    <col min="18" max="18" width="11.57421875" style="1" customWidth="1"/>
    <col min="19" max="19" width="11.57421875" style="1" bestFit="1" customWidth="1"/>
    <col min="20" max="16384" width="9.140625" style="1" customWidth="1"/>
  </cols>
  <sheetData>
    <row r="1" ht="13.5" thickBot="1"/>
    <row r="2" spans="9:21" ht="39" customHeight="1" thickBot="1">
      <c r="I2" s="51" t="s">
        <v>40</v>
      </c>
      <c r="J2" s="52"/>
      <c r="K2" s="53"/>
      <c r="M2" s="51" t="s">
        <v>26</v>
      </c>
      <c r="N2" s="52"/>
      <c r="O2" s="52"/>
      <c r="P2" s="52"/>
      <c r="Q2" s="52"/>
      <c r="R2" s="52"/>
      <c r="S2" s="52"/>
      <c r="T2" s="53"/>
      <c r="U2" s="37"/>
    </row>
    <row r="3" spans="2:30" ht="81" customHeight="1" thickBot="1">
      <c r="B3" s="28" t="s">
        <v>22</v>
      </c>
      <c r="C3" s="29" t="s">
        <v>45</v>
      </c>
      <c r="D3" s="29" t="s">
        <v>19</v>
      </c>
      <c r="E3" s="29" t="s">
        <v>20</v>
      </c>
      <c r="F3" s="29" t="s">
        <v>21</v>
      </c>
      <c r="G3" s="29" t="s">
        <v>23</v>
      </c>
      <c r="H3" s="29" t="s">
        <v>25</v>
      </c>
      <c r="I3" s="28" t="s">
        <v>32</v>
      </c>
      <c r="J3" s="30" t="s">
        <v>33</v>
      </c>
      <c r="K3" s="31" t="s">
        <v>31</v>
      </c>
      <c r="L3" s="30"/>
      <c r="M3" s="62" t="s">
        <v>30</v>
      </c>
      <c r="N3" s="30" t="s">
        <v>35</v>
      </c>
      <c r="O3" s="30" t="s">
        <v>27</v>
      </c>
      <c r="P3" s="30" t="s">
        <v>29</v>
      </c>
      <c r="Q3" s="30" t="s">
        <v>28</v>
      </c>
      <c r="R3" s="30" t="s">
        <v>36</v>
      </c>
      <c r="S3" s="30" t="s">
        <v>46</v>
      </c>
      <c r="T3" s="31" t="s">
        <v>34</v>
      </c>
      <c r="U3" s="27"/>
      <c r="V3" s="27"/>
      <c r="W3" s="27"/>
      <c r="X3" s="27"/>
      <c r="Y3" s="27"/>
      <c r="Z3" s="27"/>
      <c r="AA3" s="27"/>
      <c r="AB3" s="27"/>
      <c r="AC3" s="27"/>
      <c r="AD3" s="27"/>
    </row>
    <row r="4" spans="2:20" ht="12.75">
      <c r="B4" s="32" t="s">
        <v>37</v>
      </c>
      <c r="C4" s="33">
        <v>2</v>
      </c>
      <c r="D4" s="33">
        <f>55/63*0.5</f>
        <v>0.4365079365079365</v>
      </c>
      <c r="E4" s="33">
        <v>31</v>
      </c>
      <c r="F4" s="33">
        <v>16</v>
      </c>
      <c r="G4" s="33">
        <v>16</v>
      </c>
      <c r="H4" s="33">
        <v>494</v>
      </c>
      <c r="I4" s="54">
        <v>30.875</v>
      </c>
      <c r="J4" s="34">
        <f>I4*F4/E4</f>
        <v>15.935483870967742</v>
      </c>
      <c r="K4" s="35">
        <f>E4/I4*1000</f>
        <v>1004.0485829959514</v>
      </c>
      <c r="L4" s="34"/>
      <c r="M4" s="58">
        <f>P4*C4*D4</f>
        <v>0.8694956477214543</v>
      </c>
      <c r="N4" s="34">
        <f>G4/H4*1000</f>
        <v>32.388663967611336</v>
      </c>
      <c r="O4" s="34">
        <f>G4/J4</f>
        <v>1.0040485829959513</v>
      </c>
      <c r="P4" s="34">
        <f>1/O4</f>
        <v>0.995967741935484</v>
      </c>
      <c r="Q4" s="34">
        <f>H4*O4</f>
        <v>495.99999999999994</v>
      </c>
      <c r="R4" s="34">
        <f>O4*1000/Q4</f>
        <v>2.0242914979757085</v>
      </c>
      <c r="S4" s="34">
        <f>O4/C4</f>
        <v>0.5020242914979757</v>
      </c>
      <c r="T4" s="35">
        <f>O4*1000/N4</f>
        <v>31</v>
      </c>
    </row>
    <row r="5" spans="2:20" ht="13.5" thickBot="1">
      <c r="B5" s="45" t="s">
        <v>37</v>
      </c>
      <c r="C5" s="46">
        <v>2</v>
      </c>
      <c r="D5" s="46">
        <f aca="true" t="shared" si="0" ref="D5:D68">55/63*0.5</f>
        <v>0.4365079365079365</v>
      </c>
      <c r="E5" s="46">
        <v>31</v>
      </c>
      <c r="F5" s="46">
        <v>16</v>
      </c>
      <c r="G5" s="46">
        <v>4</v>
      </c>
      <c r="H5" s="46">
        <v>494</v>
      </c>
      <c r="I5" s="55">
        <v>7.71875</v>
      </c>
      <c r="J5" s="47">
        <f aca="true" t="shared" si="1" ref="J5:J38">I5*F5/E5</f>
        <v>3.9838709677419355</v>
      </c>
      <c r="K5" s="48">
        <f>E5/I5*1000</f>
        <v>4016.1943319838056</v>
      </c>
      <c r="L5" s="47"/>
      <c r="M5" s="59">
        <f>P5*C5*D5</f>
        <v>0.8694956477214543</v>
      </c>
      <c r="N5" s="47">
        <f>G5/H5*1000</f>
        <v>8.097165991902834</v>
      </c>
      <c r="O5" s="47">
        <f>G5/J5</f>
        <v>1.0040485829959513</v>
      </c>
      <c r="P5" s="47">
        <f>1/O5</f>
        <v>0.995967741935484</v>
      </c>
      <c r="Q5" s="47">
        <f>H5*O5</f>
        <v>495.99999999999994</v>
      </c>
      <c r="R5" s="47">
        <f aca="true" t="shared" si="2" ref="R5:R38">O5*1000/Q5</f>
        <v>2.0242914979757085</v>
      </c>
      <c r="S5" s="47">
        <f>O5/C5</f>
        <v>0.5020242914979757</v>
      </c>
      <c r="T5" s="48">
        <f>O5*1000/N5</f>
        <v>124</v>
      </c>
    </row>
    <row r="6" spans="2:20" ht="13.5" thickTop="1">
      <c r="B6" s="36" t="s">
        <v>37</v>
      </c>
      <c r="C6" s="37">
        <v>2</v>
      </c>
      <c r="D6" s="37">
        <f t="shared" si="0"/>
        <v>0.4365079365079365</v>
      </c>
      <c r="E6" s="37">
        <v>31</v>
      </c>
      <c r="F6" s="37">
        <v>16</v>
      </c>
      <c r="G6" s="37">
        <v>2</v>
      </c>
      <c r="H6" s="37">
        <v>494</v>
      </c>
      <c r="I6" s="56">
        <v>30.875</v>
      </c>
      <c r="J6" s="38">
        <f t="shared" si="1"/>
        <v>15.935483870967742</v>
      </c>
      <c r="K6" s="39">
        <f>E6/I6*1000</f>
        <v>1004.0485829959514</v>
      </c>
      <c r="L6" s="38"/>
      <c r="M6" s="60">
        <f>P6*C6*D6</f>
        <v>6.955965181771634</v>
      </c>
      <c r="N6" s="38">
        <f>G6/H6*1000</f>
        <v>4.048582995951417</v>
      </c>
      <c r="O6" s="38">
        <f>G6/J6</f>
        <v>0.12550607287449392</v>
      </c>
      <c r="P6" s="38">
        <f>1/O6</f>
        <v>7.967741935483872</v>
      </c>
      <c r="Q6" s="38">
        <f>H6*O6</f>
        <v>61.99999999999999</v>
      </c>
      <c r="R6" s="38">
        <f t="shared" si="2"/>
        <v>2.0242914979757085</v>
      </c>
      <c r="S6" s="38">
        <f>O6/C6</f>
        <v>0.06275303643724696</v>
      </c>
      <c r="T6" s="39">
        <f>O6*1000/N6</f>
        <v>31</v>
      </c>
    </row>
    <row r="7" spans="2:20" ht="13.5" thickBot="1">
      <c r="B7" s="45" t="s">
        <v>37</v>
      </c>
      <c r="C7" s="46">
        <v>2</v>
      </c>
      <c r="D7" s="46">
        <f t="shared" si="0"/>
        <v>0.4365079365079365</v>
      </c>
      <c r="E7" s="46">
        <v>31</v>
      </c>
      <c r="F7" s="46">
        <v>16</v>
      </c>
      <c r="G7" s="49">
        <v>0.5</v>
      </c>
      <c r="H7" s="46">
        <v>494</v>
      </c>
      <c r="I7" s="55">
        <v>7.71875</v>
      </c>
      <c r="J7" s="47">
        <f t="shared" si="1"/>
        <v>3.9838709677419355</v>
      </c>
      <c r="K7" s="48">
        <f aca="true" t="shared" si="3" ref="K7:K38">E7/I7*1000</f>
        <v>4016.1943319838056</v>
      </c>
      <c r="L7" s="47"/>
      <c r="M7" s="59">
        <f aca="true" t="shared" si="4" ref="M7:M16">P7*C7*D7</f>
        <v>6.955965181771634</v>
      </c>
      <c r="N7" s="47">
        <f aca="true" t="shared" si="5" ref="N7:N16">G7/H7*1000</f>
        <v>1.0121457489878543</v>
      </c>
      <c r="O7" s="47">
        <f aca="true" t="shared" si="6" ref="O7:O16">G7/J7</f>
        <v>0.12550607287449392</v>
      </c>
      <c r="P7" s="47">
        <f aca="true" t="shared" si="7" ref="P7:P68">1/O7</f>
        <v>7.967741935483872</v>
      </c>
      <c r="Q7" s="47">
        <f aca="true" t="shared" si="8" ref="Q7:Q16">H7*O7</f>
        <v>61.99999999999999</v>
      </c>
      <c r="R7" s="47">
        <f t="shared" si="2"/>
        <v>2.0242914979757085</v>
      </c>
      <c r="S7" s="47">
        <f aca="true" t="shared" si="9" ref="S7:S16">O7/C7</f>
        <v>0.06275303643724696</v>
      </c>
      <c r="T7" s="48">
        <f aca="true" t="shared" si="10" ref="T7:T16">O7*1000/N7</f>
        <v>124</v>
      </c>
    </row>
    <row r="8" spans="2:20" ht="13.5" thickTop="1">
      <c r="B8" s="36" t="s">
        <v>37</v>
      </c>
      <c r="C8" s="37">
        <v>2</v>
      </c>
      <c r="D8" s="37">
        <f t="shared" si="0"/>
        <v>0.4365079365079365</v>
      </c>
      <c r="E8" s="37">
        <v>31</v>
      </c>
      <c r="F8" s="37">
        <v>16</v>
      </c>
      <c r="G8" s="37">
        <v>1</v>
      </c>
      <c r="H8" s="37">
        <v>494</v>
      </c>
      <c r="I8" s="56">
        <v>30.875</v>
      </c>
      <c r="J8" s="38">
        <f t="shared" si="1"/>
        <v>15.935483870967742</v>
      </c>
      <c r="K8" s="39">
        <f t="shared" si="3"/>
        <v>1004.0485829959514</v>
      </c>
      <c r="L8" s="38"/>
      <c r="M8" s="60">
        <f t="shared" si="4"/>
        <v>13.911930363543268</v>
      </c>
      <c r="N8" s="38">
        <f t="shared" si="5"/>
        <v>2.0242914979757085</v>
      </c>
      <c r="O8" s="38">
        <f t="shared" si="6"/>
        <v>0.06275303643724696</v>
      </c>
      <c r="P8" s="38">
        <f t="shared" si="7"/>
        <v>15.935483870967744</v>
      </c>
      <c r="Q8" s="38">
        <f t="shared" si="8"/>
        <v>30.999999999999996</v>
      </c>
      <c r="R8" s="38">
        <f t="shared" si="2"/>
        <v>2.0242914979757085</v>
      </c>
      <c r="S8" s="38">
        <f t="shared" si="9"/>
        <v>0.03137651821862348</v>
      </c>
      <c r="T8" s="39">
        <f t="shared" si="10"/>
        <v>31</v>
      </c>
    </row>
    <row r="9" spans="2:20" ht="13.5" thickBot="1">
      <c r="B9" s="45" t="s">
        <v>37</v>
      </c>
      <c r="C9" s="46">
        <v>2</v>
      </c>
      <c r="D9" s="46">
        <f t="shared" si="0"/>
        <v>0.4365079365079365</v>
      </c>
      <c r="E9" s="46">
        <v>31</v>
      </c>
      <c r="F9" s="46">
        <v>16</v>
      </c>
      <c r="G9" s="46">
        <v>0.25</v>
      </c>
      <c r="H9" s="46">
        <v>494</v>
      </c>
      <c r="I9" s="55">
        <v>7.71875</v>
      </c>
      <c r="J9" s="47">
        <f t="shared" si="1"/>
        <v>3.9838709677419355</v>
      </c>
      <c r="K9" s="48">
        <f t="shared" si="3"/>
        <v>4016.1943319838056</v>
      </c>
      <c r="L9" s="47"/>
      <c r="M9" s="59">
        <f t="shared" si="4"/>
        <v>13.911930363543268</v>
      </c>
      <c r="N9" s="47">
        <f t="shared" si="5"/>
        <v>0.5060728744939271</v>
      </c>
      <c r="O9" s="47">
        <f t="shared" si="6"/>
        <v>0.06275303643724696</v>
      </c>
      <c r="P9" s="47">
        <f t="shared" si="7"/>
        <v>15.935483870967744</v>
      </c>
      <c r="Q9" s="47">
        <f t="shared" si="8"/>
        <v>30.999999999999996</v>
      </c>
      <c r="R9" s="47">
        <f t="shared" si="2"/>
        <v>2.0242914979757085</v>
      </c>
      <c r="S9" s="47">
        <f t="shared" si="9"/>
        <v>0.03137651821862348</v>
      </c>
      <c r="T9" s="48">
        <f t="shared" si="10"/>
        <v>124</v>
      </c>
    </row>
    <row r="10" spans="2:20" ht="13.5" thickTop="1">
      <c r="B10" s="36" t="s">
        <v>37</v>
      </c>
      <c r="C10" s="37">
        <v>2</v>
      </c>
      <c r="D10" s="37">
        <f t="shared" si="0"/>
        <v>0.4365079365079365</v>
      </c>
      <c r="E10" s="37">
        <v>31</v>
      </c>
      <c r="F10" s="37">
        <v>16</v>
      </c>
      <c r="G10" s="37">
        <v>128</v>
      </c>
      <c r="H10" s="37">
        <v>494</v>
      </c>
      <c r="I10" s="56">
        <v>30.875</v>
      </c>
      <c r="J10" s="38">
        <f t="shared" si="1"/>
        <v>15.935483870967742</v>
      </c>
      <c r="K10" s="39">
        <f t="shared" si="3"/>
        <v>1004.0485829959514</v>
      </c>
      <c r="L10" s="38"/>
      <c r="M10" s="60">
        <f t="shared" si="4"/>
        <v>0.10868695596518178</v>
      </c>
      <c r="N10" s="38">
        <f t="shared" si="5"/>
        <v>259.1093117408907</v>
      </c>
      <c r="O10" s="38">
        <f t="shared" si="6"/>
        <v>8.03238866396761</v>
      </c>
      <c r="P10" s="38">
        <f t="shared" si="7"/>
        <v>0.1244959677419355</v>
      </c>
      <c r="Q10" s="38">
        <f t="shared" si="8"/>
        <v>3967.9999999999995</v>
      </c>
      <c r="R10" s="38">
        <f t="shared" si="2"/>
        <v>2.0242914979757085</v>
      </c>
      <c r="S10" s="38">
        <f t="shared" si="9"/>
        <v>4.016194331983805</v>
      </c>
      <c r="T10" s="39">
        <f t="shared" si="10"/>
        <v>31</v>
      </c>
    </row>
    <row r="11" spans="2:20" ht="13.5" thickBot="1">
      <c r="B11" s="45" t="s">
        <v>37</v>
      </c>
      <c r="C11" s="46">
        <v>2</v>
      </c>
      <c r="D11" s="46">
        <f t="shared" si="0"/>
        <v>0.4365079365079365</v>
      </c>
      <c r="E11" s="46">
        <v>31</v>
      </c>
      <c r="F11" s="46">
        <v>16</v>
      </c>
      <c r="G11" s="46">
        <f>128/4</f>
        <v>32</v>
      </c>
      <c r="H11" s="46">
        <v>494</v>
      </c>
      <c r="I11" s="55">
        <v>7.71875</v>
      </c>
      <c r="J11" s="47">
        <f t="shared" si="1"/>
        <v>3.9838709677419355</v>
      </c>
      <c r="K11" s="48">
        <f t="shared" si="3"/>
        <v>4016.1943319838056</v>
      </c>
      <c r="L11" s="47"/>
      <c r="M11" s="59">
        <f t="shared" si="4"/>
        <v>0.10868695596518178</v>
      </c>
      <c r="N11" s="47">
        <f t="shared" si="5"/>
        <v>64.77732793522267</v>
      </c>
      <c r="O11" s="47">
        <f t="shared" si="6"/>
        <v>8.03238866396761</v>
      </c>
      <c r="P11" s="47">
        <f t="shared" si="7"/>
        <v>0.1244959677419355</v>
      </c>
      <c r="Q11" s="47">
        <f t="shared" si="8"/>
        <v>3967.9999999999995</v>
      </c>
      <c r="R11" s="47">
        <f t="shared" si="2"/>
        <v>2.0242914979757085</v>
      </c>
      <c r="S11" s="47">
        <f t="shared" si="9"/>
        <v>4.016194331983805</v>
      </c>
      <c r="T11" s="48">
        <f t="shared" si="10"/>
        <v>124</v>
      </c>
    </row>
    <row r="12" spans="2:20" ht="13.5" thickTop="1">
      <c r="B12" s="36" t="s">
        <v>37</v>
      </c>
      <c r="C12" s="37">
        <v>2</v>
      </c>
      <c r="D12" s="37">
        <f t="shared" si="0"/>
        <v>0.4365079365079365</v>
      </c>
      <c r="E12" s="37">
        <v>31</v>
      </c>
      <c r="F12" s="37">
        <v>16</v>
      </c>
      <c r="G12" s="37">
        <v>0.5</v>
      </c>
      <c r="H12" s="37">
        <v>494</v>
      </c>
      <c r="I12" s="56">
        <v>30.875</v>
      </c>
      <c r="J12" s="38">
        <f t="shared" si="1"/>
        <v>15.935483870967742</v>
      </c>
      <c r="K12" s="39">
        <f t="shared" si="3"/>
        <v>1004.0485829959514</v>
      </c>
      <c r="L12" s="38"/>
      <c r="M12" s="60">
        <f>P12*C12*D12</f>
        <v>27.823860727086537</v>
      </c>
      <c r="N12" s="38">
        <f>G12/H12*1000</f>
        <v>1.0121457489878543</v>
      </c>
      <c r="O12" s="38">
        <f>G12/J12</f>
        <v>0.03137651821862348</v>
      </c>
      <c r="P12" s="38">
        <f t="shared" si="7"/>
        <v>31.870967741935488</v>
      </c>
      <c r="Q12" s="38">
        <f>H12*O12</f>
        <v>15.499999999999998</v>
      </c>
      <c r="R12" s="38">
        <f t="shared" si="2"/>
        <v>2.0242914979757085</v>
      </c>
      <c r="S12" s="38">
        <f>O12/C12</f>
        <v>0.01568825910931174</v>
      </c>
      <c r="T12" s="39">
        <f>O12*1000/N12</f>
        <v>31</v>
      </c>
    </row>
    <row r="13" spans="2:20" ht="13.5" thickBot="1">
      <c r="B13" s="41" t="s">
        <v>37</v>
      </c>
      <c r="C13" s="42">
        <v>2</v>
      </c>
      <c r="D13" s="42">
        <f t="shared" si="0"/>
        <v>0.4365079365079365</v>
      </c>
      <c r="E13" s="42">
        <v>31</v>
      </c>
      <c r="F13" s="42">
        <v>16</v>
      </c>
      <c r="G13" s="42">
        <v>0.125</v>
      </c>
      <c r="H13" s="42">
        <v>494</v>
      </c>
      <c r="I13" s="57">
        <v>7.71875</v>
      </c>
      <c r="J13" s="43">
        <f t="shared" si="1"/>
        <v>3.9838709677419355</v>
      </c>
      <c r="K13" s="44">
        <f t="shared" si="3"/>
        <v>4016.1943319838056</v>
      </c>
      <c r="L13" s="43"/>
      <c r="M13" s="61">
        <f>P13*C13*D13</f>
        <v>27.823860727086537</v>
      </c>
      <c r="N13" s="43">
        <f>G13/H13*1000</f>
        <v>0.25303643724696356</v>
      </c>
      <c r="O13" s="43">
        <f>G13/J13</f>
        <v>0.03137651821862348</v>
      </c>
      <c r="P13" s="43">
        <f t="shared" si="7"/>
        <v>31.870967741935488</v>
      </c>
      <c r="Q13" s="43">
        <f>H13*O13</f>
        <v>15.499999999999998</v>
      </c>
      <c r="R13" s="43">
        <f t="shared" si="2"/>
        <v>2.0242914979757085</v>
      </c>
      <c r="S13" s="43">
        <f>O13/C13</f>
        <v>0.01568825910931174</v>
      </c>
      <c r="T13" s="44">
        <f>O13*1000/N13</f>
        <v>124</v>
      </c>
    </row>
    <row r="14" spans="3:13" ht="13.5" thickBot="1">
      <c r="C14" s="2"/>
      <c r="D14" s="2"/>
      <c r="E14" s="2"/>
      <c r="F14" s="2"/>
      <c r="G14" s="2"/>
      <c r="H14" s="2"/>
      <c r="I14" s="2"/>
      <c r="K14" s="38"/>
      <c r="M14" s="50"/>
    </row>
    <row r="15" spans="2:20" ht="12.75">
      <c r="B15" s="32" t="s">
        <v>39</v>
      </c>
      <c r="C15" s="33">
        <v>2</v>
      </c>
      <c r="D15" s="33">
        <f t="shared" si="0"/>
        <v>0.4365079365079365</v>
      </c>
      <c r="E15" s="33">
        <v>31</v>
      </c>
      <c r="F15" s="33">
        <v>16</v>
      </c>
      <c r="G15" s="33">
        <v>16</v>
      </c>
      <c r="H15" s="33">
        <v>1482</v>
      </c>
      <c r="I15" s="54">
        <f>92.625/3</f>
        <v>30.875</v>
      </c>
      <c r="J15" s="34">
        <f t="shared" si="1"/>
        <v>15.935483870967742</v>
      </c>
      <c r="K15" s="35">
        <f t="shared" si="3"/>
        <v>1004.0485829959514</v>
      </c>
      <c r="M15" s="58">
        <f t="shared" si="4"/>
        <v>0.8694956477214543</v>
      </c>
      <c r="N15" s="34">
        <f t="shared" si="5"/>
        <v>10.79622132253711</v>
      </c>
      <c r="O15" s="34">
        <f t="shared" si="6"/>
        <v>1.0040485829959513</v>
      </c>
      <c r="P15" s="34">
        <f t="shared" si="7"/>
        <v>0.995967741935484</v>
      </c>
      <c r="Q15" s="34">
        <f t="shared" si="8"/>
        <v>1488</v>
      </c>
      <c r="R15" s="34">
        <f t="shared" si="2"/>
        <v>0.6747638326585694</v>
      </c>
      <c r="S15" s="34">
        <f t="shared" si="9"/>
        <v>0.5020242914979757</v>
      </c>
      <c r="T15" s="35">
        <f t="shared" si="10"/>
        <v>93.00000000000001</v>
      </c>
    </row>
    <row r="16" spans="2:20" ht="13.5" thickBot="1">
      <c r="B16" s="66" t="s">
        <v>39</v>
      </c>
      <c r="C16" s="67">
        <v>2</v>
      </c>
      <c r="D16" s="67">
        <f t="shared" si="0"/>
        <v>0.4365079365079365</v>
      </c>
      <c r="E16" s="67">
        <v>31</v>
      </c>
      <c r="F16" s="67">
        <v>16</v>
      </c>
      <c r="G16" s="67">
        <v>4</v>
      </c>
      <c r="H16" s="67">
        <v>1482</v>
      </c>
      <c r="I16" s="68">
        <f>23.15625/3</f>
        <v>7.71875</v>
      </c>
      <c r="J16" s="69">
        <f t="shared" si="1"/>
        <v>3.9838709677419355</v>
      </c>
      <c r="K16" s="70">
        <f t="shared" si="3"/>
        <v>4016.1943319838056</v>
      </c>
      <c r="L16" s="69"/>
      <c r="M16" s="71">
        <f t="shared" si="4"/>
        <v>0.8694956477214543</v>
      </c>
      <c r="N16" s="69">
        <f t="shared" si="5"/>
        <v>2.6990553306342777</v>
      </c>
      <c r="O16" s="69">
        <f t="shared" si="6"/>
        <v>1.0040485829959513</v>
      </c>
      <c r="P16" s="69">
        <f t="shared" si="7"/>
        <v>0.995967741935484</v>
      </c>
      <c r="Q16" s="69">
        <f t="shared" si="8"/>
        <v>1488</v>
      </c>
      <c r="R16" s="69">
        <f t="shared" si="2"/>
        <v>0.6747638326585694</v>
      </c>
      <c r="S16" s="69">
        <f t="shared" si="9"/>
        <v>0.5020242914979757</v>
      </c>
      <c r="T16" s="70">
        <f t="shared" si="10"/>
        <v>372.00000000000006</v>
      </c>
    </row>
    <row r="17" spans="2:20" ht="13.5" thickTop="1">
      <c r="B17" s="36" t="s">
        <v>39</v>
      </c>
      <c r="C17" s="37">
        <v>2</v>
      </c>
      <c r="D17" s="37">
        <f t="shared" si="0"/>
        <v>0.4365079365079365</v>
      </c>
      <c r="E17" s="37">
        <v>31</v>
      </c>
      <c r="F17" s="37">
        <v>16</v>
      </c>
      <c r="G17" s="37">
        <v>2</v>
      </c>
      <c r="H17" s="37">
        <v>1482</v>
      </c>
      <c r="I17" s="56">
        <f>92.625/3</f>
        <v>30.875</v>
      </c>
      <c r="J17" s="38">
        <f t="shared" si="1"/>
        <v>15.935483870967742</v>
      </c>
      <c r="K17" s="39">
        <f t="shared" si="3"/>
        <v>1004.0485829959514</v>
      </c>
      <c r="M17" s="60">
        <f aca="true" t="shared" si="11" ref="M17:M38">P17*C17*D17</f>
        <v>6.955965181771634</v>
      </c>
      <c r="N17" s="38">
        <f aca="true" t="shared" si="12" ref="N17:N38">G17/H17*1000</f>
        <v>1.3495276653171389</v>
      </c>
      <c r="O17" s="38">
        <f aca="true" t="shared" si="13" ref="O17:O38">G17/J17</f>
        <v>0.12550607287449392</v>
      </c>
      <c r="P17" s="38">
        <f t="shared" si="7"/>
        <v>7.967741935483872</v>
      </c>
      <c r="Q17" s="38">
        <f aca="true" t="shared" si="14" ref="Q17:Q38">H17*O17</f>
        <v>186</v>
      </c>
      <c r="R17" s="38">
        <f t="shared" si="2"/>
        <v>0.6747638326585694</v>
      </c>
      <c r="S17" s="38">
        <f aca="true" t="shared" si="15" ref="S17:S38">O17/C17</f>
        <v>0.06275303643724696</v>
      </c>
      <c r="T17" s="39">
        <f aca="true" t="shared" si="16" ref="T17:T38">O17*1000/N17</f>
        <v>93.00000000000001</v>
      </c>
    </row>
    <row r="18" spans="2:20" ht="13.5" thickBot="1">
      <c r="B18" s="66" t="s">
        <v>39</v>
      </c>
      <c r="C18" s="67">
        <v>2</v>
      </c>
      <c r="D18" s="67">
        <f t="shared" si="0"/>
        <v>0.4365079365079365</v>
      </c>
      <c r="E18" s="67">
        <v>31</v>
      </c>
      <c r="F18" s="67">
        <v>16</v>
      </c>
      <c r="G18" s="72">
        <v>0.5</v>
      </c>
      <c r="H18" s="67">
        <v>1482</v>
      </c>
      <c r="I18" s="68">
        <f>23.15625/3</f>
        <v>7.71875</v>
      </c>
      <c r="J18" s="69">
        <f t="shared" si="1"/>
        <v>3.9838709677419355</v>
      </c>
      <c r="K18" s="70">
        <f t="shared" si="3"/>
        <v>4016.1943319838056</v>
      </c>
      <c r="L18" s="69"/>
      <c r="M18" s="71">
        <f t="shared" si="11"/>
        <v>6.955965181771634</v>
      </c>
      <c r="N18" s="69">
        <f t="shared" si="12"/>
        <v>0.3373819163292847</v>
      </c>
      <c r="O18" s="69">
        <f t="shared" si="13"/>
        <v>0.12550607287449392</v>
      </c>
      <c r="P18" s="69">
        <f t="shared" si="7"/>
        <v>7.967741935483872</v>
      </c>
      <c r="Q18" s="69">
        <f t="shared" si="14"/>
        <v>186</v>
      </c>
      <c r="R18" s="69">
        <f t="shared" si="2"/>
        <v>0.6747638326585694</v>
      </c>
      <c r="S18" s="69">
        <f t="shared" si="15"/>
        <v>0.06275303643724696</v>
      </c>
      <c r="T18" s="70">
        <f t="shared" si="16"/>
        <v>372.00000000000006</v>
      </c>
    </row>
    <row r="19" spans="2:20" ht="13.5" thickTop="1">
      <c r="B19" s="36" t="s">
        <v>39</v>
      </c>
      <c r="C19" s="37">
        <v>2</v>
      </c>
      <c r="D19" s="37">
        <f t="shared" si="0"/>
        <v>0.4365079365079365</v>
      </c>
      <c r="E19" s="37">
        <v>31</v>
      </c>
      <c r="F19" s="37">
        <v>16</v>
      </c>
      <c r="G19" s="37">
        <v>1</v>
      </c>
      <c r="H19" s="37">
        <v>1482</v>
      </c>
      <c r="I19" s="56">
        <f>92.625/3</f>
        <v>30.875</v>
      </c>
      <c r="J19" s="38">
        <f t="shared" si="1"/>
        <v>15.935483870967742</v>
      </c>
      <c r="K19" s="39">
        <f t="shared" si="3"/>
        <v>1004.0485829959514</v>
      </c>
      <c r="M19" s="60">
        <f t="shared" si="11"/>
        <v>13.911930363543268</v>
      </c>
      <c r="N19" s="38">
        <f t="shared" si="12"/>
        <v>0.6747638326585694</v>
      </c>
      <c r="O19" s="38">
        <f t="shared" si="13"/>
        <v>0.06275303643724696</v>
      </c>
      <c r="P19" s="38">
        <f t="shared" si="7"/>
        <v>15.935483870967744</v>
      </c>
      <c r="Q19" s="38">
        <f t="shared" si="14"/>
        <v>93</v>
      </c>
      <c r="R19" s="38">
        <f t="shared" si="2"/>
        <v>0.6747638326585694</v>
      </c>
      <c r="S19" s="38">
        <f t="shared" si="15"/>
        <v>0.03137651821862348</v>
      </c>
      <c r="T19" s="39">
        <f t="shared" si="16"/>
        <v>93.00000000000001</v>
      </c>
    </row>
    <row r="20" spans="2:20" ht="13.5" thickBot="1">
      <c r="B20" s="66" t="s">
        <v>39</v>
      </c>
      <c r="C20" s="67">
        <v>2</v>
      </c>
      <c r="D20" s="67">
        <f t="shared" si="0"/>
        <v>0.4365079365079365</v>
      </c>
      <c r="E20" s="67">
        <v>31</v>
      </c>
      <c r="F20" s="67">
        <v>16</v>
      </c>
      <c r="G20" s="67">
        <v>0.25</v>
      </c>
      <c r="H20" s="67">
        <v>1482</v>
      </c>
      <c r="I20" s="68">
        <f>23.15625/3</f>
        <v>7.71875</v>
      </c>
      <c r="J20" s="69">
        <f t="shared" si="1"/>
        <v>3.9838709677419355</v>
      </c>
      <c r="K20" s="70">
        <f t="shared" si="3"/>
        <v>4016.1943319838056</v>
      </c>
      <c r="L20" s="69"/>
      <c r="M20" s="71">
        <f t="shared" si="11"/>
        <v>13.911930363543268</v>
      </c>
      <c r="N20" s="69">
        <f t="shared" si="12"/>
        <v>0.16869095816464236</v>
      </c>
      <c r="O20" s="69">
        <f t="shared" si="13"/>
        <v>0.06275303643724696</v>
      </c>
      <c r="P20" s="69">
        <f t="shared" si="7"/>
        <v>15.935483870967744</v>
      </c>
      <c r="Q20" s="69">
        <f t="shared" si="14"/>
        <v>93</v>
      </c>
      <c r="R20" s="69">
        <f t="shared" si="2"/>
        <v>0.6747638326585694</v>
      </c>
      <c r="S20" s="69">
        <f t="shared" si="15"/>
        <v>0.03137651821862348</v>
      </c>
      <c r="T20" s="70">
        <f t="shared" si="16"/>
        <v>372.00000000000006</v>
      </c>
    </row>
    <row r="21" spans="2:20" ht="13.5" thickTop="1">
      <c r="B21" s="36" t="s">
        <v>39</v>
      </c>
      <c r="C21" s="37">
        <v>2</v>
      </c>
      <c r="D21" s="37">
        <f t="shared" si="0"/>
        <v>0.4365079365079365</v>
      </c>
      <c r="E21" s="37">
        <v>31</v>
      </c>
      <c r="F21" s="37">
        <v>16</v>
      </c>
      <c r="G21" s="37">
        <v>128</v>
      </c>
      <c r="H21" s="37">
        <v>1482</v>
      </c>
      <c r="I21" s="56">
        <f>92.625/3</f>
        <v>30.875</v>
      </c>
      <c r="J21" s="38">
        <f t="shared" si="1"/>
        <v>15.935483870967742</v>
      </c>
      <c r="K21" s="39">
        <f t="shared" si="3"/>
        <v>1004.0485829959514</v>
      </c>
      <c r="M21" s="60">
        <f t="shared" si="11"/>
        <v>0.10868695596518178</v>
      </c>
      <c r="N21" s="38">
        <f t="shared" si="12"/>
        <v>86.36977058029689</v>
      </c>
      <c r="O21" s="38">
        <f t="shared" si="13"/>
        <v>8.03238866396761</v>
      </c>
      <c r="P21" s="38">
        <f t="shared" si="7"/>
        <v>0.1244959677419355</v>
      </c>
      <c r="Q21" s="38">
        <f t="shared" si="14"/>
        <v>11904</v>
      </c>
      <c r="R21" s="38">
        <f t="shared" si="2"/>
        <v>0.6747638326585694</v>
      </c>
      <c r="S21" s="38">
        <f t="shared" si="15"/>
        <v>4.016194331983805</v>
      </c>
      <c r="T21" s="39">
        <f t="shared" si="16"/>
        <v>93.00000000000001</v>
      </c>
    </row>
    <row r="22" spans="2:20" ht="13.5" thickBot="1">
      <c r="B22" s="66" t="s">
        <v>39</v>
      </c>
      <c r="C22" s="67">
        <v>2</v>
      </c>
      <c r="D22" s="67">
        <f t="shared" si="0"/>
        <v>0.4365079365079365</v>
      </c>
      <c r="E22" s="67">
        <v>31</v>
      </c>
      <c r="F22" s="67">
        <v>16</v>
      </c>
      <c r="G22" s="67">
        <f>128/4</f>
        <v>32</v>
      </c>
      <c r="H22" s="67">
        <v>1482</v>
      </c>
      <c r="I22" s="68">
        <f>23.15625/3</f>
        <v>7.71875</v>
      </c>
      <c r="J22" s="69">
        <f t="shared" si="1"/>
        <v>3.9838709677419355</v>
      </c>
      <c r="K22" s="70">
        <f t="shared" si="3"/>
        <v>4016.1943319838056</v>
      </c>
      <c r="L22" s="69"/>
      <c r="M22" s="71">
        <f t="shared" si="11"/>
        <v>0.10868695596518178</v>
      </c>
      <c r="N22" s="69">
        <f t="shared" si="12"/>
        <v>21.59244264507422</v>
      </c>
      <c r="O22" s="69">
        <f t="shared" si="13"/>
        <v>8.03238866396761</v>
      </c>
      <c r="P22" s="69">
        <f t="shared" si="7"/>
        <v>0.1244959677419355</v>
      </c>
      <c r="Q22" s="69">
        <f t="shared" si="14"/>
        <v>11904</v>
      </c>
      <c r="R22" s="69">
        <f t="shared" si="2"/>
        <v>0.6747638326585694</v>
      </c>
      <c r="S22" s="69">
        <f t="shared" si="15"/>
        <v>4.016194331983805</v>
      </c>
      <c r="T22" s="70">
        <f t="shared" si="16"/>
        <v>372.00000000000006</v>
      </c>
    </row>
    <row r="23" spans="2:20" ht="13.5" thickTop="1">
      <c r="B23" s="36" t="s">
        <v>39</v>
      </c>
      <c r="C23" s="37">
        <v>2</v>
      </c>
      <c r="D23" s="37">
        <f t="shared" si="0"/>
        <v>0.4365079365079365</v>
      </c>
      <c r="E23" s="37">
        <v>31</v>
      </c>
      <c r="F23" s="37">
        <v>16</v>
      </c>
      <c r="G23" s="37">
        <v>0.5</v>
      </c>
      <c r="H23" s="37">
        <v>1482</v>
      </c>
      <c r="I23" s="56">
        <f>92.625/3</f>
        <v>30.875</v>
      </c>
      <c r="J23" s="38">
        <f t="shared" si="1"/>
        <v>15.935483870967742</v>
      </c>
      <c r="K23" s="39">
        <f t="shared" si="3"/>
        <v>1004.0485829959514</v>
      </c>
      <c r="M23" s="60">
        <f t="shared" si="11"/>
        <v>27.823860727086537</v>
      </c>
      <c r="N23" s="38">
        <f t="shared" si="12"/>
        <v>0.3373819163292847</v>
      </c>
      <c r="O23" s="38">
        <f t="shared" si="13"/>
        <v>0.03137651821862348</v>
      </c>
      <c r="P23" s="38">
        <f t="shared" si="7"/>
        <v>31.870967741935488</v>
      </c>
      <c r="Q23" s="38">
        <f t="shared" si="14"/>
        <v>46.5</v>
      </c>
      <c r="R23" s="38">
        <f t="shared" si="2"/>
        <v>0.6747638326585694</v>
      </c>
      <c r="S23" s="38">
        <f t="shared" si="15"/>
        <v>0.01568825910931174</v>
      </c>
      <c r="T23" s="39">
        <f t="shared" si="16"/>
        <v>93.00000000000001</v>
      </c>
    </row>
    <row r="24" spans="2:20" ht="13.5" thickBot="1">
      <c r="B24" s="41" t="s">
        <v>39</v>
      </c>
      <c r="C24" s="42">
        <v>2</v>
      </c>
      <c r="D24" s="42">
        <f t="shared" si="0"/>
        <v>0.4365079365079365</v>
      </c>
      <c r="E24" s="42">
        <v>31</v>
      </c>
      <c r="F24" s="42">
        <v>16</v>
      </c>
      <c r="G24" s="42">
        <v>0.125</v>
      </c>
      <c r="H24" s="42">
        <v>1482</v>
      </c>
      <c r="I24" s="57">
        <f>23.15625/3</f>
        <v>7.71875</v>
      </c>
      <c r="J24" s="43">
        <f t="shared" si="1"/>
        <v>3.9838709677419355</v>
      </c>
      <c r="K24" s="44">
        <f t="shared" si="3"/>
        <v>4016.1943319838056</v>
      </c>
      <c r="M24" s="61">
        <f t="shared" si="11"/>
        <v>27.823860727086537</v>
      </c>
      <c r="N24" s="43">
        <f t="shared" si="12"/>
        <v>0.08434547908232118</v>
      </c>
      <c r="O24" s="43">
        <f t="shared" si="13"/>
        <v>0.03137651821862348</v>
      </c>
      <c r="P24" s="43">
        <f t="shared" si="7"/>
        <v>31.870967741935488</v>
      </c>
      <c r="Q24" s="43">
        <f t="shared" si="14"/>
        <v>46.5</v>
      </c>
      <c r="R24" s="43">
        <f t="shared" si="2"/>
        <v>0.6747638326585694</v>
      </c>
      <c r="S24" s="43">
        <f t="shared" si="15"/>
        <v>0.01568825910931174</v>
      </c>
      <c r="T24" s="44">
        <f t="shared" si="16"/>
        <v>372.00000000000006</v>
      </c>
    </row>
    <row r="25" spans="3:13" ht="13.5" thickBot="1">
      <c r="C25" s="2"/>
      <c r="D25" s="2"/>
      <c r="E25" s="2"/>
      <c r="F25" s="2"/>
      <c r="G25" s="2"/>
      <c r="H25" s="2"/>
      <c r="I25" s="2"/>
      <c r="K25" s="38"/>
      <c r="M25" s="50"/>
    </row>
    <row r="26" spans="2:20" ht="25.5">
      <c r="B26" s="32" t="s">
        <v>41</v>
      </c>
      <c r="C26" s="33">
        <v>2</v>
      </c>
      <c r="D26" s="33">
        <f t="shared" si="0"/>
        <v>0.4365079365079365</v>
      </c>
      <c r="E26" s="33">
        <v>31</v>
      </c>
      <c r="F26" s="33">
        <v>16</v>
      </c>
      <c r="G26" s="33">
        <v>16</v>
      </c>
      <c r="H26" s="63">
        <v>507</v>
      </c>
      <c r="I26" s="54">
        <f>507/16</f>
        <v>31.6875</v>
      </c>
      <c r="J26" s="34">
        <f t="shared" si="1"/>
        <v>16.35483870967742</v>
      </c>
      <c r="K26" s="35">
        <f t="shared" si="3"/>
        <v>978.3037475345168</v>
      </c>
      <c r="M26" s="58">
        <f t="shared" si="11"/>
        <v>0.8923771121351767</v>
      </c>
      <c r="N26" s="34">
        <f t="shared" si="12"/>
        <v>31.558185404339252</v>
      </c>
      <c r="O26" s="34">
        <f t="shared" si="13"/>
        <v>0.9783037475345168</v>
      </c>
      <c r="P26" s="34">
        <f t="shared" si="7"/>
        <v>1.0221774193548387</v>
      </c>
      <c r="Q26" s="34">
        <f t="shared" si="14"/>
        <v>496</v>
      </c>
      <c r="R26" s="34">
        <f t="shared" si="2"/>
        <v>1.9723865877712032</v>
      </c>
      <c r="S26" s="34">
        <f t="shared" si="15"/>
        <v>0.4891518737672584</v>
      </c>
      <c r="T26" s="35">
        <f t="shared" si="16"/>
        <v>31</v>
      </c>
    </row>
    <row r="27" spans="2:20" ht="25.5">
      <c r="B27" s="36" t="s">
        <v>41</v>
      </c>
      <c r="C27" s="37">
        <v>2</v>
      </c>
      <c r="D27" s="37">
        <f t="shared" si="0"/>
        <v>0.4365079365079365</v>
      </c>
      <c r="E27" s="37">
        <v>31</v>
      </c>
      <c r="F27" s="37">
        <v>16</v>
      </c>
      <c r="G27" s="37">
        <v>4</v>
      </c>
      <c r="H27" s="64">
        <v>507</v>
      </c>
      <c r="I27" s="56">
        <v>7.921875</v>
      </c>
      <c r="J27" s="38">
        <f t="shared" si="1"/>
        <v>4.088709677419355</v>
      </c>
      <c r="K27" s="39">
        <f t="shared" si="3"/>
        <v>3913.214990138067</v>
      </c>
      <c r="M27" s="60">
        <f t="shared" si="11"/>
        <v>0.8923771121351767</v>
      </c>
      <c r="N27" s="38">
        <f t="shared" si="12"/>
        <v>7.889546351084813</v>
      </c>
      <c r="O27" s="38">
        <f t="shared" si="13"/>
        <v>0.9783037475345168</v>
      </c>
      <c r="P27" s="38">
        <f t="shared" si="7"/>
        <v>1.0221774193548387</v>
      </c>
      <c r="Q27" s="38">
        <f t="shared" si="14"/>
        <v>496</v>
      </c>
      <c r="R27" s="38">
        <f t="shared" si="2"/>
        <v>1.9723865877712032</v>
      </c>
      <c r="S27" s="38">
        <f t="shared" si="15"/>
        <v>0.4891518737672584</v>
      </c>
      <c r="T27" s="39">
        <f t="shared" si="16"/>
        <v>124</v>
      </c>
    </row>
    <row r="28" spans="2:20" ht="25.5">
      <c r="B28" s="36" t="s">
        <v>41</v>
      </c>
      <c r="C28" s="37">
        <v>2</v>
      </c>
      <c r="D28" s="37">
        <f t="shared" si="0"/>
        <v>0.4365079365079365</v>
      </c>
      <c r="E28" s="37">
        <v>31</v>
      </c>
      <c r="F28" s="37">
        <v>16</v>
      </c>
      <c r="G28" s="37">
        <v>2</v>
      </c>
      <c r="H28" s="64">
        <v>507</v>
      </c>
      <c r="I28" s="56">
        <f>507/16</f>
        <v>31.6875</v>
      </c>
      <c r="J28" s="38">
        <f t="shared" si="1"/>
        <v>16.35483870967742</v>
      </c>
      <c r="K28" s="39">
        <f t="shared" si="3"/>
        <v>978.3037475345168</v>
      </c>
      <c r="M28" s="60">
        <f t="shared" si="11"/>
        <v>7.139016897081413</v>
      </c>
      <c r="N28" s="38">
        <f t="shared" si="12"/>
        <v>3.9447731755424065</v>
      </c>
      <c r="O28" s="38">
        <f t="shared" si="13"/>
        <v>0.1222879684418146</v>
      </c>
      <c r="P28" s="38">
        <f t="shared" si="7"/>
        <v>8.17741935483871</v>
      </c>
      <c r="Q28" s="38">
        <f t="shared" si="14"/>
        <v>62</v>
      </c>
      <c r="R28" s="38">
        <f t="shared" si="2"/>
        <v>1.9723865877712032</v>
      </c>
      <c r="S28" s="38">
        <f t="shared" si="15"/>
        <v>0.0611439842209073</v>
      </c>
      <c r="T28" s="39">
        <f t="shared" si="16"/>
        <v>31</v>
      </c>
    </row>
    <row r="29" spans="2:20" ht="25.5">
      <c r="B29" s="36" t="s">
        <v>41</v>
      </c>
      <c r="C29" s="37">
        <v>2</v>
      </c>
      <c r="D29" s="37">
        <f t="shared" si="0"/>
        <v>0.4365079365079365</v>
      </c>
      <c r="E29" s="37">
        <v>31</v>
      </c>
      <c r="F29" s="37">
        <v>16</v>
      </c>
      <c r="G29" s="40">
        <v>0.5</v>
      </c>
      <c r="H29" s="64">
        <v>507</v>
      </c>
      <c r="I29" s="56">
        <v>7.921875</v>
      </c>
      <c r="J29" s="38">
        <f t="shared" si="1"/>
        <v>4.088709677419355</v>
      </c>
      <c r="K29" s="39">
        <f t="shared" si="3"/>
        <v>3913.214990138067</v>
      </c>
      <c r="M29" s="60">
        <f t="shared" si="11"/>
        <v>7.139016897081413</v>
      </c>
      <c r="N29" s="38">
        <f t="shared" si="12"/>
        <v>0.9861932938856016</v>
      </c>
      <c r="O29" s="38">
        <f t="shared" si="13"/>
        <v>0.1222879684418146</v>
      </c>
      <c r="P29" s="38">
        <f t="shared" si="7"/>
        <v>8.17741935483871</v>
      </c>
      <c r="Q29" s="38">
        <f t="shared" si="14"/>
        <v>62</v>
      </c>
      <c r="R29" s="38">
        <f t="shared" si="2"/>
        <v>1.9723865877712032</v>
      </c>
      <c r="S29" s="38">
        <f t="shared" si="15"/>
        <v>0.0611439842209073</v>
      </c>
      <c r="T29" s="39">
        <f t="shared" si="16"/>
        <v>124</v>
      </c>
    </row>
    <row r="30" spans="2:20" ht="25.5">
      <c r="B30" s="36" t="s">
        <v>41</v>
      </c>
      <c r="C30" s="37">
        <v>2</v>
      </c>
      <c r="D30" s="37">
        <f t="shared" si="0"/>
        <v>0.4365079365079365</v>
      </c>
      <c r="E30" s="37">
        <v>31</v>
      </c>
      <c r="F30" s="37">
        <v>16</v>
      </c>
      <c r="G30" s="37">
        <v>1</v>
      </c>
      <c r="H30" s="64">
        <v>507</v>
      </c>
      <c r="I30" s="56">
        <f>507/16</f>
        <v>31.6875</v>
      </c>
      <c r="J30" s="38">
        <f t="shared" si="1"/>
        <v>16.35483870967742</v>
      </c>
      <c r="K30" s="39">
        <f t="shared" si="3"/>
        <v>978.3037475345168</v>
      </c>
      <c r="M30" s="60">
        <f t="shared" si="11"/>
        <v>14.278033794162827</v>
      </c>
      <c r="N30" s="38">
        <f t="shared" si="12"/>
        <v>1.9723865877712032</v>
      </c>
      <c r="O30" s="38">
        <f t="shared" si="13"/>
        <v>0.0611439842209073</v>
      </c>
      <c r="P30" s="38">
        <f t="shared" si="7"/>
        <v>16.35483870967742</v>
      </c>
      <c r="Q30" s="38">
        <f t="shared" si="14"/>
        <v>31</v>
      </c>
      <c r="R30" s="38">
        <f t="shared" si="2"/>
        <v>1.9723865877712032</v>
      </c>
      <c r="S30" s="38">
        <f t="shared" si="15"/>
        <v>0.03057199211045365</v>
      </c>
      <c r="T30" s="39">
        <f t="shared" si="16"/>
        <v>31</v>
      </c>
    </row>
    <row r="31" spans="2:20" ht="25.5">
      <c r="B31" s="36" t="s">
        <v>41</v>
      </c>
      <c r="C31" s="37">
        <v>2</v>
      </c>
      <c r="D31" s="37">
        <f t="shared" si="0"/>
        <v>0.4365079365079365</v>
      </c>
      <c r="E31" s="37">
        <v>31</v>
      </c>
      <c r="F31" s="37">
        <v>16</v>
      </c>
      <c r="G31" s="37">
        <v>0.25</v>
      </c>
      <c r="H31" s="64">
        <v>507</v>
      </c>
      <c r="I31" s="56">
        <v>7.921875</v>
      </c>
      <c r="J31" s="38">
        <f t="shared" si="1"/>
        <v>4.088709677419355</v>
      </c>
      <c r="K31" s="39">
        <f t="shared" si="3"/>
        <v>3913.214990138067</v>
      </c>
      <c r="M31" s="60">
        <f t="shared" si="11"/>
        <v>14.278033794162827</v>
      </c>
      <c r="N31" s="38">
        <f t="shared" si="12"/>
        <v>0.4930966469428008</v>
      </c>
      <c r="O31" s="38">
        <f t="shared" si="13"/>
        <v>0.0611439842209073</v>
      </c>
      <c r="P31" s="38">
        <f t="shared" si="7"/>
        <v>16.35483870967742</v>
      </c>
      <c r="Q31" s="38">
        <f t="shared" si="14"/>
        <v>31</v>
      </c>
      <c r="R31" s="38">
        <f t="shared" si="2"/>
        <v>1.9723865877712032</v>
      </c>
      <c r="S31" s="38">
        <f t="shared" si="15"/>
        <v>0.03057199211045365</v>
      </c>
      <c r="T31" s="39">
        <f t="shared" si="16"/>
        <v>124</v>
      </c>
    </row>
    <row r="32" spans="2:20" ht="12.75">
      <c r="B32" s="36" t="s">
        <v>41</v>
      </c>
      <c r="C32" s="37">
        <v>2</v>
      </c>
      <c r="D32" s="37">
        <f t="shared" si="0"/>
        <v>0.4365079365079365</v>
      </c>
      <c r="E32" s="37">
        <v>31</v>
      </c>
      <c r="F32" s="37">
        <v>16</v>
      </c>
      <c r="G32" s="37">
        <v>128</v>
      </c>
      <c r="H32" s="64">
        <v>507</v>
      </c>
      <c r="I32" s="56">
        <f>507/16</f>
        <v>31.6875</v>
      </c>
      <c r="J32" s="38">
        <f t="shared" si="1"/>
        <v>16.35483870967742</v>
      </c>
      <c r="K32" s="39">
        <f t="shared" si="3"/>
        <v>978.3037475345168</v>
      </c>
      <c r="M32" s="60">
        <f t="shared" si="11"/>
        <v>0.11154713901689708</v>
      </c>
      <c r="N32" s="38">
        <f t="shared" si="12"/>
        <v>252.46548323471401</v>
      </c>
      <c r="O32" s="38">
        <f t="shared" si="13"/>
        <v>7.826429980276134</v>
      </c>
      <c r="P32" s="38">
        <f t="shared" si="7"/>
        <v>0.12777217741935484</v>
      </c>
      <c r="Q32" s="38">
        <f t="shared" si="14"/>
        <v>3968</v>
      </c>
      <c r="R32" s="38">
        <f t="shared" si="2"/>
        <v>1.9723865877712032</v>
      </c>
      <c r="S32" s="38">
        <f t="shared" si="15"/>
        <v>3.913214990138067</v>
      </c>
      <c r="T32" s="39">
        <f t="shared" si="16"/>
        <v>31</v>
      </c>
    </row>
    <row r="33" spans="2:20" ht="12.75">
      <c r="B33" s="36" t="s">
        <v>41</v>
      </c>
      <c r="C33" s="37">
        <v>2</v>
      </c>
      <c r="D33" s="37">
        <f t="shared" si="0"/>
        <v>0.4365079365079365</v>
      </c>
      <c r="E33" s="37">
        <v>31</v>
      </c>
      <c r="F33" s="37">
        <v>16</v>
      </c>
      <c r="G33" s="37">
        <f>128/4</f>
        <v>32</v>
      </c>
      <c r="H33" s="64">
        <v>507</v>
      </c>
      <c r="I33" s="56">
        <v>7.921875</v>
      </c>
      <c r="J33" s="38">
        <f t="shared" si="1"/>
        <v>4.088709677419355</v>
      </c>
      <c r="K33" s="39">
        <f t="shared" si="3"/>
        <v>3913.214990138067</v>
      </c>
      <c r="M33" s="60">
        <f t="shared" si="11"/>
        <v>0.11154713901689708</v>
      </c>
      <c r="N33" s="38">
        <f t="shared" si="12"/>
        <v>63.116370808678504</v>
      </c>
      <c r="O33" s="38">
        <f t="shared" si="13"/>
        <v>7.826429980276134</v>
      </c>
      <c r="P33" s="38">
        <f t="shared" si="7"/>
        <v>0.12777217741935484</v>
      </c>
      <c r="Q33" s="38">
        <f t="shared" si="14"/>
        <v>3968</v>
      </c>
      <c r="R33" s="38">
        <f t="shared" si="2"/>
        <v>1.9723865877712032</v>
      </c>
      <c r="S33" s="38">
        <f t="shared" si="15"/>
        <v>3.913214990138067</v>
      </c>
      <c r="T33" s="39">
        <f t="shared" si="16"/>
        <v>124</v>
      </c>
    </row>
    <row r="34" spans="2:20" ht="12.75">
      <c r="B34" s="36" t="s">
        <v>41</v>
      </c>
      <c r="C34" s="37">
        <v>2</v>
      </c>
      <c r="D34" s="37">
        <f t="shared" si="0"/>
        <v>0.4365079365079365</v>
      </c>
      <c r="E34" s="37">
        <v>31</v>
      </c>
      <c r="F34" s="37">
        <v>16</v>
      </c>
      <c r="G34" s="37">
        <v>0.5</v>
      </c>
      <c r="H34" s="64">
        <v>507</v>
      </c>
      <c r="I34" s="56">
        <f>507/16</f>
        <v>31.6875</v>
      </c>
      <c r="J34" s="38">
        <f t="shared" si="1"/>
        <v>16.35483870967742</v>
      </c>
      <c r="K34" s="39">
        <f t="shared" si="3"/>
        <v>978.3037475345168</v>
      </c>
      <c r="M34" s="60">
        <f t="shared" si="11"/>
        <v>28.556067588325654</v>
      </c>
      <c r="N34" s="38">
        <f t="shared" si="12"/>
        <v>0.9861932938856016</v>
      </c>
      <c r="O34" s="38">
        <f t="shared" si="13"/>
        <v>0.03057199211045365</v>
      </c>
      <c r="P34" s="38">
        <f t="shared" si="7"/>
        <v>32.70967741935484</v>
      </c>
      <c r="Q34" s="38">
        <f t="shared" si="14"/>
        <v>15.5</v>
      </c>
      <c r="R34" s="38">
        <f t="shared" si="2"/>
        <v>1.9723865877712032</v>
      </c>
      <c r="S34" s="38">
        <f t="shared" si="15"/>
        <v>0.015285996055226824</v>
      </c>
      <c r="T34" s="39">
        <f t="shared" si="16"/>
        <v>31</v>
      </c>
    </row>
    <row r="35" spans="2:20" ht="13.5" thickBot="1">
      <c r="B35" s="41" t="s">
        <v>41</v>
      </c>
      <c r="C35" s="42">
        <v>2</v>
      </c>
      <c r="D35" s="42">
        <f t="shared" si="0"/>
        <v>0.4365079365079365</v>
      </c>
      <c r="E35" s="42">
        <v>31</v>
      </c>
      <c r="F35" s="42">
        <v>16</v>
      </c>
      <c r="G35" s="42">
        <v>0.125</v>
      </c>
      <c r="H35" s="65">
        <v>507</v>
      </c>
      <c r="I35" s="57">
        <v>7.921875</v>
      </c>
      <c r="J35" s="43">
        <f t="shared" si="1"/>
        <v>4.088709677419355</v>
      </c>
      <c r="K35" s="44">
        <f t="shared" si="3"/>
        <v>3913.214990138067</v>
      </c>
      <c r="M35" s="61">
        <f t="shared" si="11"/>
        <v>28.556067588325654</v>
      </c>
      <c r="N35" s="43">
        <f t="shared" si="12"/>
        <v>0.2465483234714004</v>
      </c>
      <c r="O35" s="43">
        <f t="shared" si="13"/>
        <v>0.03057199211045365</v>
      </c>
      <c r="P35" s="43">
        <f t="shared" si="7"/>
        <v>32.70967741935484</v>
      </c>
      <c r="Q35" s="43">
        <f t="shared" si="14"/>
        <v>15.5</v>
      </c>
      <c r="R35" s="43">
        <f t="shared" si="2"/>
        <v>1.9723865877712032</v>
      </c>
      <c r="S35" s="43">
        <f t="shared" si="15"/>
        <v>0.015285996055226824</v>
      </c>
      <c r="T35" s="44">
        <f t="shared" si="16"/>
        <v>124</v>
      </c>
    </row>
    <row r="36" spans="3:13" ht="13.5" thickBot="1">
      <c r="C36" s="2"/>
      <c r="D36" s="2"/>
      <c r="E36" s="2"/>
      <c r="F36" s="2"/>
      <c r="G36" s="2"/>
      <c r="H36" s="2"/>
      <c r="K36" s="38"/>
      <c r="M36" s="50"/>
    </row>
    <row r="37" spans="2:20" ht="12.75">
      <c r="B37" s="32" t="s">
        <v>42</v>
      </c>
      <c r="C37" s="33">
        <v>2</v>
      </c>
      <c r="D37" s="33">
        <f t="shared" si="0"/>
        <v>0.4365079365079365</v>
      </c>
      <c r="E37" s="33">
        <v>31</v>
      </c>
      <c r="F37" s="33">
        <v>16</v>
      </c>
      <c r="G37" s="33">
        <v>16</v>
      </c>
      <c r="H37" s="63">
        <v>1318.2</v>
      </c>
      <c r="I37" s="54">
        <f>82.3875/3</f>
        <v>27.462500000000002</v>
      </c>
      <c r="J37" s="34">
        <f t="shared" si="1"/>
        <v>14.174193548387098</v>
      </c>
      <c r="K37" s="35">
        <f t="shared" si="3"/>
        <v>1128.8120163859808</v>
      </c>
      <c r="M37" s="58">
        <f t="shared" si="11"/>
        <v>0.7733934971838199</v>
      </c>
      <c r="N37" s="34">
        <f t="shared" si="12"/>
        <v>12.137763617053556</v>
      </c>
      <c r="O37" s="34">
        <f t="shared" si="13"/>
        <v>1.1288120163859807</v>
      </c>
      <c r="P37" s="34">
        <f t="shared" si="7"/>
        <v>0.8858870967741936</v>
      </c>
      <c r="Q37" s="34">
        <f t="shared" si="14"/>
        <v>1487.9999999999998</v>
      </c>
      <c r="R37" s="34">
        <f t="shared" si="2"/>
        <v>0.7586102260658474</v>
      </c>
      <c r="S37" s="34">
        <f t="shared" si="15"/>
        <v>0.5644060081929904</v>
      </c>
      <c r="T37" s="35">
        <f t="shared" si="16"/>
        <v>93</v>
      </c>
    </row>
    <row r="38" spans="2:20" ht="12.75">
      <c r="B38" s="36" t="s">
        <v>42</v>
      </c>
      <c r="C38" s="37">
        <v>2</v>
      </c>
      <c r="D38" s="37">
        <f t="shared" si="0"/>
        <v>0.4365079365079365</v>
      </c>
      <c r="E38" s="37">
        <v>31</v>
      </c>
      <c r="F38" s="37">
        <v>16</v>
      </c>
      <c r="G38" s="37">
        <v>4</v>
      </c>
      <c r="H38" s="64">
        <v>1318.2</v>
      </c>
      <c r="I38" s="56">
        <f>20.596875/3</f>
        <v>6.8656250000000005</v>
      </c>
      <c r="J38" s="38">
        <f t="shared" si="1"/>
        <v>3.5435483870967746</v>
      </c>
      <c r="K38" s="39">
        <f t="shared" si="3"/>
        <v>4515.248065543923</v>
      </c>
      <c r="M38" s="60">
        <f aca="true" t="shared" si="17" ref="M38:M46">P38*C38*D38</f>
        <v>0.7733934971838199</v>
      </c>
      <c r="N38" s="38">
        <f aca="true" t="shared" si="18" ref="N38:N46">G38/H38*1000</f>
        <v>3.034440904263389</v>
      </c>
      <c r="O38" s="38">
        <f aca="true" t="shared" si="19" ref="O38:O46">G38/J38</f>
        <v>1.1288120163859807</v>
      </c>
      <c r="P38" s="38">
        <f t="shared" si="7"/>
        <v>0.8858870967741936</v>
      </c>
      <c r="Q38" s="38">
        <f aca="true" t="shared" si="20" ref="Q38:Q46">H38*O38</f>
        <v>1487.9999999999998</v>
      </c>
      <c r="R38" s="38">
        <f aca="true" t="shared" si="21" ref="R38:R46">O38*1000/Q38</f>
        <v>0.7586102260658474</v>
      </c>
      <c r="S38" s="38">
        <f aca="true" t="shared" si="22" ref="S38:S46">O38/C38</f>
        <v>0.5644060081929904</v>
      </c>
      <c r="T38" s="39">
        <f aca="true" t="shared" si="23" ref="T38:T46">O38*1000/N38</f>
        <v>372</v>
      </c>
    </row>
    <row r="39" spans="2:20" ht="12.75">
      <c r="B39" s="36" t="s">
        <v>42</v>
      </c>
      <c r="C39" s="37">
        <v>2</v>
      </c>
      <c r="D39" s="37">
        <f t="shared" si="0"/>
        <v>0.4365079365079365</v>
      </c>
      <c r="E39" s="37">
        <v>31</v>
      </c>
      <c r="F39" s="37">
        <v>16</v>
      </c>
      <c r="G39" s="37">
        <v>2</v>
      </c>
      <c r="H39" s="64">
        <v>1318.2</v>
      </c>
      <c r="I39" s="56">
        <v>27.4625</v>
      </c>
      <c r="J39" s="38">
        <f aca="true" t="shared" si="24" ref="J39:J46">I39*F39/E39</f>
        <v>14.174193548387096</v>
      </c>
      <c r="K39" s="39">
        <f aca="true" t="shared" si="25" ref="K39:K46">E39/I39*1000</f>
        <v>1128.812016385981</v>
      </c>
      <c r="M39" s="60">
        <f t="shared" si="17"/>
        <v>6.187147977470558</v>
      </c>
      <c r="N39" s="38">
        <f t="shared" si="18"/>
        <v>1.5172204521316945</v>
      </c>
      <c r="O39" s="38">
        <f t="shared" si="19"/>
        <v>0.14110150204824762</v>
      </c>
      <c r="P39" s="38">
        <f t="shared" si="7"/>
        <v>7.087096774193548</v>
      </c>
      <c r="Q39" s="38">
        <f t="shared" si="20"/>
        <v>186.00000000000003</v>
      </c>
      <c r="R39" s="38">
        <f t="shared" si="21"/>
        <v>0.7586102260658474</v>
      </c>
      <c r="S39" s="38">
        <f t="shared" si="22"/>
        <v>0.07055075102412381</v>
      </c>
      <c r="T39" s="39">
        <f t="shared" si="23"/>
        <v>93.00000000000001</v>
      </c>
    </row>
    <row r="40" spans="2:20" ht="12.75">
      <c r="B40" s="36" t="s">
        <v>42</v>
      </c>
      <c r="C40" s="37">
        <v>2</v>
      </c>
      <c r="D40" s="37">
        <f t="shared" si="0"/>
        <v>0.4365079365079365</v>
      </c>
      <c r="E40" s="37">
        <v>31</v>
      </c>
      <c r="F40" s="37">
        <v>16</v>
      </c>
      <c r="G40" s="40">
        <v>0.5</v>
      </c>
      <c r="H40" s="64">
        <v>1318.2</v>
      </c>
      <c r="I40" s="56">
        <v>6.865625</v>
      </c>
      <c r="J40" s="38">
        <f t="shared" si="24"/>
        <v>3.543548387096774</v>
      </c>
      <c r="K40" s="39">
        <f t="shared" si="25"/>
        <v>4515.248065543924</v>
      </c>
      <c r="M40" s="60">
        <f t="shared" si="17"/>
        <v>6.187147977470558</v>
      </c>
      <c r="N40" s="38">
        <f t="shared" si="18"/>
        <v>0.37930511303292364</v>
      </c>
      <c r="O40" s="38">
        <f t="shared" si="19"/>
        <v>0.14110150204824762</v>
      </c>
      <c r="P40" s="38">
        <f t="shared" si="7"/>
        <v>7.087096774193548</v>
      </c>
      <c r="Q40" s="38">
        <f t="shared" si="20"/>
        <v>186.00000000000003</v>
      </c>
      <c r="R40" s="38">
        <f t="shared" si="21"/>
        <v>0.7586102260658474</v>
      </c>
      <c r="S40" s="38">
        <f t="shared" si="22"/>
        <v>0.07055075102412381</v>
      </c>
      <c r="T40" s="39">
        <f t="shared" si="23"/>
        <v>372.00000000000006</v>
      </c>
    </row>
    <row r="41" spans="2:20" ht="12.75">
      <c r="B41" s="36" t="s">
        <v>42</v>
      </c>
      <c r="C41" s="37">
        <v>2</v>
      </c>
      <c r="D41" s="37">
        <f t="shared" si="0"/>
        <v>0.4365079365079365</v>
      </c>
      <c r="E41" s="37">
        <v>31</v>
      </c>
      <c r="F41" s="37">
        <v>16</v>
      </c>
      <c r="G41" s="37">
        <v>1</v>
      </c>
      <c r="H41" s="64">
        <v>1318.2</v>
      </c>
      <c r="I41" s="56">
        <v>27.4625</v>
      </c>
      <c r="J41" s="38">
        <f t="shared" si="24"/>
        <v>14.174193548387096</v>
      </c>
      <c r="K41" s="39">
        <f t="shared" si="25"/>
        <v>1128.812016385981</v>
      </c>
      <c r="M41" s="60">
        <f t="shared" si="17"/>
        <v>12.374295954941116</v>
      </c>
      <c r="N41" s="38">
        <f t="shared" si="18"/>
        <v>0.7586102260658473</v>
      </c>
      <c r="O41" s="38">
        <f t="shared" si="19"/>
        <v>0.07055075102412381</v>
      </c>
      <c r="P41" s="38">
        <f t="shared" si="7"/>
        <v>14.174193548387096</v>
      </c>
      <c r="Q41" s="38">
        <f t="shared" si="20"/>
        <v>93.00000000000001</v>
      </c>
      <c r="R41" s="38">
        <f t="shared" si="21"/>
        <v>0.7586102260658474</v>
      </c>
      <c r="S41" s="38">
        <f t="shared" si="22"/>
        <v>0.035275375512061904</v>
      </c>
      <c r="T41" s="39">
        <f t="shared" si="23"/>
        <v>93.00000000000001</v>
      </c>
    </row>
    <row r="42" spans="2:20" ht="12.75">
      <c r="B42" s="36" t="s">
        <v>42</v>
      </c>
      <c r="C42" s="37">
        <v>2</v>
      </c>
      <c r="D42" s="37">
        <f t="shared" si="0"/>
        <v>0.4365079365079365</v>
      </c>
      <c r="E42" s="37">
        <v>31</v>
      </c>
      <c r="F42" s="37">
        <v>16</v>
      </c>
      <c r="G42" s="37">
        <v>0.25</v>
      </c>
      <c r="H42" s="64">
        <v>1318.2</v>
      </c>
      <c r="I42" s="56">
        <v>6.865625</v>
      </c>
      <c r="J42" s="38">
        <f t="shared" si="24"/>
        <v>3.543548387096774</v>
      </c>
      <c r="K42" s="39">
        <f t="shared" si="25"/>
        <v>4515.248065543924</v>
      </c>
      <c r="M42" s="60">
        <f t="shared" si="17"/>
        <v>12.374295954941116</v>
      </c>
      <c r="N42" s="38">
        <f t="shared" si="18"/>
        <v>0.18965255651646182</v>
      </c>
      <c r="O42" s="38">
        <f t="shared" si="19"/>
        <v>0.07055075102412381</v>
      </c>
      <c r="P42" s="38">
        <f t="shared" si="7"/>
        <v>14.174193548387096</v>
      </c>
      <c r="Q42" s="38">
        <f t="shared" si="20"/>
        <v>93.00000000000001</v>
      </c>
      <c r="R42" s="38">
        <f t="shared" si="21"/>
        <v>0.7586102260658474</v>
      </c>
      <c r="S42" s="38">
        <f t="shared" si="22"/>
        <v>0.035275375512061904</v>
      </c>
      <c r="T42" s="39">
        <f t="shared" si="23"/>
        <v>372.00000000000006</v>
      </c>
    </row>
    <row r="43" spans="2:20" ht="12.75">
      <c r="B43" s="36" t="s">
        <v>42</v>
      </c>
      <c r="C43" s="37">
        <v>2</v>
      </c>
      <c r="D43" s="37">
        <f t="shared" si="0"/>
        <v>0.4365079365079365</v>
      </c>
      <c r="E43" s="37">
        <v>31</v>
      </c>
      <c r="F43" s="37">
        <v>16</v>
      </c>
      <c r="G43" s="37">
        <v>128</v>
      </c>
      <c r="H43" s="64">
        <v>1318.2</v>
      </c>
      <c r="I43" s="56">
        <v>27.4625</v>
      </c>
      <c r="J43" s="38">
        <f t="shared" si="24"/>
        <v>14.174193548387096</v>
      </c>
      <c r="K43" s="39">
        <f t="shared" si="25"/>
        <v>1128.812016385981</v>
      </c>
      <c r="M43" s="60">
        <f t="shared" si="17"/>
        <v>0.09667418714797747</v>
      </c>
      <c r="N43" s="38">
        <f t="shared" si="18"/>
        <v>97.10210893642845</v>
      </c>
      <c r="O43" s="38">
        <f t="shared" si="19"/>
        <v>9.030496131087848</v>
      </c>
      <c r="P43" s="38">
        <f t="shared" si="7"/>
        <v>0.11073588709677419</v>
      </c>
      <c r="Q43" s="38">
        <f t="shared" si="20"/>
        <v>11904.000000000002</v>
      </c>
      <c r="R43" s="38">
        <f t="shared" si="21"/>
        <v>0.7586102260658474</v>
      </c>
      <c r="S43" s="38">
        <f t="shared" si="22"/>
        <v>4.515248065543924</v>
      </c>
      <c r="T43" s="39">
        <f t="shared" si="23"/>
        <v>93.00000000000001</v>
      </c>
    </row>
    <row r="44" spans="2:20" ht="12.75">
      <c r="B44" s="36" t="s">
        <v>42</v>
      </c>
      <c r="C44" s="37">
        <v>2</v>
      </c>
      <c r="D44" s="37">
        <f t="shared" si="0"/>
        <v>0.4365079365079365</v>
      </c>
      <c r="E44" s="37">
        <v>31</v>
      </c>
      <c r="F44" s="37">
        <v>16</v>
      </c>
      <c r="G44" s="37">
        <f>128/4</f>
        <v>32</v>
      </c>
      <c r="H44" s="64">
        <v>1318.2</v>
      </c>
      <c r="I44" s="56">
        <v>6.865625</v>
      </c>
      <c r="J44" s="38">
        <f t="shared" si="24"/>
        <v>3.543548387096774</v>
      </c>
      <c r="K44" s="39">
        <f t="shared" si="25"/>
        <v>4515.248065543924</v>
      </c>
      <c r="M44" s="60">
        <f t="shared" si="17"/>
        <v>0.09667418714797747</v>
      </c>
      <c r="N44" s="38">
        <f t="shared" si="18"/>
        <v>24.275527234107113</v>
      </c>
      <c r="O44" s="38">
        <f t="shared" si="19"/>
        <v>9.030496131087848</v>
      </c>
      <c r="P44" s="38">
        <f t="shared" si="7"/>
        <v>0.11073588709677419</v>
      </c>
      <c r="Q44" s="38">
        <f t="shared" si="20"/>
        <v>11904.000000000002</v>
      </c>
      <c r="R44" s="38">
        <f t="shared" si="21"/>
        <v>0.7586102260658474</v>
      </c>
      <c r="S44" s="38">
        <f t="shared" si="22"/>
        <v>4.515248065543924</v>
      </c>
      <c r="T44" s="39">
        <f t="shared" si="23"/>
        <v>372.00000000000006</v>
      </c>
    </row>
    <row r="45" spans="2:20" ht="12.75">
      <c r="B45" s="36" t="s">
        <v>42</v>
      </c>
      <c r="C45" s="37">
        <v>2</v>
      </c>
      <c r="D45" s="37">
        <f t="shared" si="0"/>
        <v>0.4365079365079365</v>
      </c>
      <c r="E45" s="37">
        <v>31</v>
      </c>
      <c r="F45" s="37">
        <v>16</v>
      </c>
      <c r="G45" s="37">
        <v>0.5</v>
      </c>
      <c r="H45" s="64">
        <v>1318.2</v>
      </c>
      <c r="I45" s="56">
        <v>27.4625</v>
      </c>
      <c r="J45" s="38">
        <f t="shared" si="24"/>
        <v>14.174193548387096</v>
      </c>
      <c r="K45" s="39">
        <f t="shared" si="25"/>
        <v>1128.812016385981</v>
      </c>
      <c r="M45" s="60">
        <f t="shared" si="17"/>
        <v>24.748591909882233</v>
      </c>
      <c r="N45" s="38">
        <f t="shared" si="18"/>
        <v>0.37930511303292364</v>
      </c>
      <c r="O45" s="38">
        <f t="shared" si="19"/>
        <v>0.035275375512061904</v>
      </c>
      <c r="P45" s="38">
        <f t="shared" si="7"/>
        <v>28.348387096774193</v>
      </c>
      <c r="Q45" s="38">
        <f t="shared" si="20"/>
        <v>46.50000000000001</v>
      </c>
      <c r="R45" s="38">
        <f t="shared" si="21"/>
        <v>0.7586102260658474</v>
      </c>
      <c r="S45" s="38">
        <f t="shared" si="22"/>
        <v>0.017637687756030952</v>
      </c>
      <c r="T45" s="39">
        <f t="shared" si="23"/>
        <v>93.00000000000001</v>
      </c>
    </row>
    <row r="46" spans="2:20" ht="13.5" thickBot="1">
      <c r="B46" s="41" t="s">
        <v>42</v>
      </c>
      <c r="C46" s="42">
        <v>2</v>
      </c>
      <c r="D46" s="42">
        <f t="shared" si="0"/>
        <v>0.4365079365079365</v>
      </c>
      <c r="E46" s="42">
        <v>31</v>
      </c>
      <c r="F46" s="42">
        <v>16</v>
      </c>
      <c r="G46" s="42">
        <v>0.125</v>
      </c>
      <c r="H46" s="65">
        <v>1318.2</v>
      </c>
      <c r="I46" s="57">
        <v>6.865625</v>
      </c>
      <c r="J46" s="43">
        <f t="shared" si="24"/>
        <v>3.543548387096774</v>
      </c>
      <c r="K46" s="44">
        <f t="shared" si="25"/>
        <v>4515.248065543924</v>
      </c>
      <c r="M46" s="61">
        <f t="shared" si="17"/>
        <v>24.748591909882233</v>
      </c>
      <c r="N46" s="43">
        <f t="shared" si="18"/>
        <v>0.09482627825823091</v>
      </c>
      <c r="O46" s="43">
        <f t="shared" si="19"/>
        <v>0.035275375512061904</v>
      </c>
      <c r="P46" s="43">
        <f t="shared" si="7"/>
        <v>28.348387096774193</v>
      </c>
      <c r="Q46" s="43">
        <f t="shared" si="20"/>
        <v>46.50000000000001</v>
      </c>
      <c r="R46" s="43">
        <f t="shared" si="21"/>
        <v>0.7586102260658474</v>
      </c>
      <c r="S46" s="43">
        <f t="shared" si="22"/>
        <v>0.017637687756030952</v>
      </c>
      <c r="T46" s="44">
        <f t="shared" si="23"/>
        <v>372.00000000000006</v>
      </c>
    </row>
    <row r="47" spans="3:13" ht="13.5" thickBot="1">
      <c r="C47" s="2"/>
      <c r="D47" s="2"/>
      <c r="E47" s="2"/>
      <c r="F47" s="2"/>
      <c r="G47" s="2"/>
      <c r="H47" s="2"/>
      <c r="I47" s="2"/>
      <c r="K47" s="38"/>
      <c r="M47" s="50"/>
    </row>
    <row r="48" spans="2:20" ht="12.75">
      <c r="B48" s="32" t="s">
        <v>43</v>
      </c>
      <c r="C48" s="33">
        <v>2</v>
      </c>
      <c r="D48" s="33">
        <f t="shared" si="0"/>
        <v>0.4365079365079365</v>
      </c>
      <c r="E48" s="33">
        <v>31</v>
      </c>
      <c r="F48" s="33">
        <v>16</v>
      </c>
      <c r="G48" s="33">
        <v>16</v>
      </c>
      <c r="H48" s="33">
        <v>1352</v>
      </c>
      <c r="I48" s="54">
        <f>84.5/3</f>
        <v>28.166666666666668</v>
      </c>
      <c r="J48" s="34">
        <f aca="true" t="shared" si="26" ref="J48:J57">I48*F48/E48</f>
        <v>14.537634408602152</v>
      </c>
      <c r="K48" s="35">
        <f aca="true" t="shared" si="27" ref="K48:K57">E48/I48*1000</f>
        <v>1100.5917159763312</v>
      </c>
      <c r="M48" s="58">
        <f aca="true" t="shared" si="28" ref="M48:M57">P48*C48*D48</f>
        <v>0.7932240996757126</v>
      </c>
      <c r="N48" s="34">
        <f aca="true" t="shared" si="29" ref="N48:N57">G48/H48*1000</f>
        <v>11.834319526627219</v>
      </c>
      <c r="O48" s="34">
        <f aca="true" t="shared" si="30" ref="O48:O57">G48/J48</f>
        <v>1.1005917159763312</v>
      </c>
      <c r="P48" s="34">
        <f t="shared" si="7"/>
        <v>0.9086021505376345</v>
      </c>
      <c r="Q48" s="34">
        <f aca="true" t="shared" si="31" ref="Q48:Q57">H48*O48</f>
        <v>1487.9999999999998</v>
      </c>
      <c r="R48" s="34">
        <f aca="true" t="shared" si="32" ref="R48:R57">O48*1000/Q48</f>
        <v>0.7396449704142012</v>
      </c>
      <c r="S48" s="34">
        <f aca="true" t="shared" si="33" ref="S48:S57">O48/C48</f>
        <v>0.5502958579881656</v>
      </c>
      <c r="T48" s="35">
        <f aca="true" t="shared" si="34" ref="T48:T57">O48*1000/N48</f>
        <v>92.99999999999999</v>
      </c>
    </row>
    <row r="49" spans="2:20" ht="12.75">
      <c r="B49" s="36" t="s">
        <v>43</v>
      </c>
      <c r="C49" s="37">
        <v>2</v>
      </c>
      <c r="D49" s="37">
        <f t="shared" si="0"/>
        <v>0.4365079365079365</v>
      </c>
      <c r="E49" s="37">
        <v>31</v>
      </c>
      <c r="F49" s="37">
        <v>16</v>
      </c>
      <c r="G49" s="37">
        <v>4</v>
      </c>
      <c r="H49" s="37">
        <v>1352</v>
      </c>
      <c r="I49" s="56">
        <f>21.125/3</f>
        <v>7.041666666666667</v>
      </c>
      <c r="J49" s="38">
        <f t="shared" si="26"/>
        <v>3.634408602150538</v>
      </c>
      <c r="K49" s="39">
        <f t="shared" si="27"/>
        <v>4402.366863905325</v>
      </c>
      <c r="M49" s="60">
        <f t="shared" si="28"/>
        <v>0.7932240996757126</v>
      </c>
      <c r="N49" s="38">
        <f t="shared" si="29"/>
        <v>2.9585798816568047</v>
      </c>
      <c r="O49" s="38">
        <f t="shared" si="30"/>
        <v>1.1005917159763312</v>
      </c>
      <c r="P49" s="38">
        <f t="shared" si="7"/>
        <v>0.9086021505376345</v>
      </c>
      <c r="Q49" s="38">
        <f t="shared" si="31"/>
        <v>1487.9999999999998</v>
      </c>
      <c r="R49" s="38">
        <f t="shared" si="32"/>
        <v>0.7396449704142012</v>
      </c>
      <c r="S49" s="38">
        <f t="shared" si="33"/>
        <v>0.5502958579881656</v>
      </c>
      <c r="T49" s="39">
        <f t="shared" si="34"/>
        <v>371.99999999999994</v>
      </c>
    </row>
    <row r="50" spans="2:20" ht="12.75">
      <c r="B50" s="36" t="s">
        <v>43</v>
      </c>
      <c r="C50" s="37">
        <v>2</v>
      </c>
      <c r="D50" s="37">
        <f t="shared" si="0"/>
        <v>0.4365079365079365</v>
      </c>
      <c r="E50" s="37">
        <v>31</v>
      </c>
      <c r="F50" s="37">
        <v>16</v>
      </c>
      <c r="G50" s="37">
        <v>2</v>
      </c>
      <c r="H50" s="37">
        <v>1352</v>
      </c>
      <c r="I50" s="56">
        <f>84.5/3</f>
        <v>28.166666666666668</v>
      </c>
      <c r="J50" s="38">
        <f t="shared" si="26"/>
        <v>14.537634408602152</v>
      </c>
      <c r="K50" s="39">
        <f t="shared" si="27"/>
        <v>1100.5917159763312</v>
      </c>
      <c r="M50" s="60">
        <f t="shared" si="28"/>
        <v>6.345792797405701</v>
      </c>
      <c r="N50" s="38">
        <f t="shared" si="29"/>
        <v>1.4792899408284024</v>
      </c>
      <c r="O50" s="38">
        <f t="shared" si="30"/>
        <v>0.1375739644970414</v>
      </c>
      <c r="P50" s="38">
        <f t="shared" si="7"/>
        <v>7.268817204301076</v>
      </c>
      <c r="Q50" s="38">
        <f t="shared" si="31"/>
        <v>185.99999999999997</v>
      </c>
      <c r="R50" s="38">
        <f t="shared" si="32"/>
        <v>0.7396449704142012</v>
      </c>
      <c r="S50" s="38">
        <f t="shared" si="33"/>
        <v>0.0687869822485207</v>
      </c>
      <c r="T50" s="39">
        <f t="shared" si="34"/>
        <v>92.99999999999999</v>
      </c>
    </row>
    <row r="51" spans="2:20" ht="12.75">
      <c r="B51" s="36" t="s">
        <v>43</v>
      </c>
      <c r="C51" s="37">
        <v>2</v>
      </c>
      <c r="D51" s="37">
        <f t="shared" si="0"/>
        <v>0.4365079365079365</v>
      </c>
      <c r="E51" s="37">
        <v>31</v>
      </c>
      <c r="F51" s="37">
        <v>16</v>
      </c>
      <c r="G51" s="40">
        <v>0.5</v>
      </c>
      <c r="H51" s="37">
        <v>1352</v>
      </c>
      <c r="I51" s="56">
        <f>21.125/3</f>
        <v>7.041666666666667</v>
      </c>
      <c r="J51" s="38">
        <f t="shared" si="26"/>
        <v>3.634408602150538</v>
      </c>
      <c r="K51" s="39">
        <f t="shared" si="27"/>
        <v>4402.366863905325</v>
      </c>
      <c r="M51" s="60">
        <f t="shared" si="28"/>
        <v>6.345792797405701</v>
      </c>
      <c r="N51" s="38">
        <f t="shared" si="29"/>
        <v>0.3698224852071006</v>
      </c>
      <c r="O51" s="38">
        <f t="shared" si="30"/>
        <v>0.1375739644970414</v>
      </c>
      <c r="P51" s="38">
        <f t="shared" si="7"/>
        <v>7.268817204301076</v>
      </c>
      <c r="Q51" s="38">
        <f t="shared" si="31"/>
        <v>185.99999999999997</v>
      </c>
      <c r="R51" s="38">
        <f t="shared" si="32"/>
        <v>0.7396449704142012</v>
      </c>
      <c r="S51" s="38">
        <f t="shared" si="33"/>
        <v>0.0687869822485207</v>
      </c>
      <c r="T51" s="39">
        <f t="shared" si="34"/>
        <v>371.99999999999994</v>
      </c>
    </row>
    <row r="52" spans="2:20" ht="12.75">
      <c r="B52" s="36" t="s">
        <v>43</v>
      </c>
      <c r="C52" s="37">
        <v>2</v>
      </c>
      <c r="D52" s="37">
        <f t="shared" si="0"/>
        <v>0.4365079365079365</v>
      </c>
      <c r="E52" s="37">
        <v>31</v>
      </c>
      <c r="F52" s="37">
        <v>16</v>
      </c>
      <c r="G52" s="37">
        <v>1</v>
      </c>
      <c r="H52" s="37">
        <v>1352</v>
      </c>
      <c r="I52" s="56">
        <f>84.5/3</f>
        <v>28.166666666666668</v>
      </c>
      <c r="J52" s="38">
        <f t="shared" si="26"/>
        <v>14.537634408602152</v>
      </c>
      <c r="K52" s="39">
        <f t="shared" si="27"/>
        <v>1100.5917159763312</v>
      </c>
      <c r="M52" s="60">
        <f t="shared" si="28"/>
        <v>12.691585594811402</v>
      </c>
      <c r="N52" s="38">
        <f t="shared" si="29"/>
        <v>0.7396449704142012</v>
      </c>
      <c r="O52" s="38">
        <f t="shared" si="30"/>
        <v>0.0687869822485207</v>
      </c>
      <c r="P52" s="38">
        <f t="shared" si="7"/>
        <v>14.537634408602152</v>
      </c>
      <c r="Q52" s="38">
        <f t="shared" si="31"/>
        <v>92.99999999999999</v>
      </c>
      <c r="R52" s="38">
        <f t="shared" si="32"/>
        <v>0.7396449704142012</v>
      </c>
      <c r="S52" s="38">
        <f t="shared" si="33"/>
        <v>0.03439349112426035</v>
      </c>
      <c r="T52" s="39">
        <f t="shared" si="34"/>
        <v>92.99999999999999</v>
      </c>
    </row>
    <row r="53" spans="2:20" ht="12.75">
      <c r="B53" s="36" t="s">
        <v>43</v>
      </c>
      <c r="C53" s="37">
        <v>2</v>
      </c>
      <c r="D53" s="37">
        <f t="shared" si="0"/>
        <v>0.4365079365079365</v>
      </c>
      <c r="E53" s="37">
        <v>31</v>
      </c>
      <c r="F53" s="37">
        <v>16</v>
      </c>
      <c r="G53" s="37">
        <v>0.25</v>
      </c>
      <c r="H53" s="37">
        <v>1352</v>
      </c>
      <c r="I53" s="56">
        <f>21.125/3</f>
        <v>7.041666666666667</v>
      </c>
      <c r="J53" s="38">
        <f t="shared" si="26"/>
        <v>3.634408602150538</v>
      </c>
      <c r="K53" s="39">
        <f t="shared" si="27"/>
        <v>4402.366863905325</v>
      </c>
      <c r="M53" s="60">
        <f t="shared" si="28"/>
        <v>12.691585594811402</v>
      </c>
      <c r="N53" s="38">
        <f t="shared" si="29"/>
        <v>0.1849112426035503</v>
      </c>
      <c r="O53" s="38">
        <f t="shared" si="30"/>
        <v>0.0687869822485207</v>
      </c>
      <c r="P53" s="38">
        <f t="shared" si="7"/>
        <v>14.537634408602152</v>
      </c>
      <c r="Q53" s="38">
        <f t="shared" si="31"/>
        <v>92.99999999999999</v>
      </c>
      <c r="R53" s="38">
        <f t="shared" si="32"/>
        <v>0.7396449704142012</v>
      </c>
      <c r="S53" s="38">
        <f t="shared" si="33"/>
        <v>0.03439349112426035</v>
      </c>
      <c r="T53" s="39">
        <f t="shared" si="34"/>
        <v>371.99999999999994</v>
      </c>
    </row>
    <row r="54" spans="2:20" ht="12.75">
      <c r="B54" s="36" t="s">
        <v>43</v>
      </c>
      <c r="C54" s="37">
        <v>2</v>
      </c>
      <c r="D54" s="37">
        <f t="shared" si="0"/>
        <v>0.4365079365079365</v>
      </c>
      <c r="E54" s="37">
        <v>31</v>
      </c>
      <c r="F54" s="37">
        <v>16</v>
      </c>
      <c r="G54" s="37">
        <v>128</v>
      </c>
      <c r="H54" s="37">
        <v>1352</v>
      </c>
      <c r="I54" s="56">
        <f>84.5/3</f>
        <v>28.166666666666668</v>
      </c>
      <c r="J54" s="38">
        <f t="shared" si="26"/>
        <v>14.537634408602152</v>
      </c>
      <c r="K54" s="39">
        <f t="shared" si="27"/>
        <v>1100.5917159763312</v>
      </c>
      <c r="M54" s="60">
        <f t="shared" si="28"/>
        <v>0.09915301245946408</v>
      </c>
      <c r="N54" s="38">
        <f t="shared" si="29"/>
        <v>94.67455621301775</v>
      </c>
      <c r="O54" s="38">
        <f t="shared" si="30"/>
        <v>8.80473372781065</v>
      </c>
      <c r="P54" s="38">
        <f t="shared" si="7"/>
        <v>0.11357526881720431</v>
      </c>
      <c r="Q54" s="38">
        <f t="shared" si="31"/>
        <v>11903.999999999998</v>
      </c>
      <c r="R54" s="38">
        <f t="shared" si="32"/>
        <v>0.7396449704142012</v>
      </c>
      <c r="S54" s="38">
        <f t="shared" si="33"/>
        <v>4.402366863905325</v>
      </c>
      <c r="T54" s="39">
        <f t="shared" si="34"/>
        <v>92.99999999999999</v>
      </c>
    </row>
    <row r="55" spans="2:20" ht="12.75">
      <c r="B55" s="36" t="s">
        <v>43</v>
      </c>
      <c r="C55" s="37">
        <v>2</v>
      </c>
      <c r="D55" s="37">
        <f t="shared" si="0"/>
        <v>0.4365079365079365</v>
      </c>
      <c r="E55" s="37">
        <v>31</v>
      </c>
      <c r="F55" s="37">
        <v>16</v>
      </c>
      <c r="G55" s="37">
        <f>128/4</f>
        <v>32</v>
      </c>
      <c r="H55" s="37">
        <v>1352</v>
      </c>
      <c r="I55" s="56">
        <f>21.125/3</f>
        <v>7.041666666666667</v>
      </c>
      <c r="J55" s="38">
        <f t="shared" si="26"/>
        <v>3.634408602150538</v>
      </c>
      <c r="K55" s="39">
        <f t="shared" si="27"/>
        <v>4402.366863905325</v>
      </c>
      <c r="M55" s="60">
        <f t="shared" si="28"/>
        <v>0.09915301245946408</v>
      </c>
      <c r="N55" s="38">
        <f t="shared" si="29"/>
        <v>23.668639053254438</v>
      </c>
      <c r="O55" s="38">
        <f t="shared" si="30"/>
        <v>8.80473372781065</v>
      </c>
      <c r="P55" s="38">
        <f t="shared" si="7"/>
        <v>0.11357526881720431</v>
      </c>
      <c r="Q55" s="38">
        <f t="shared" si="31"/>
        <v>11903.999999999998</v>
      </c>
      <c r="R55" s="38">
        <f t="shared" si="32"/>
        <v>0.7396449704142012</v>
      </c>
      <c r="S55" s="38">
        <f t="shared" si="33"/>
        <v>4.402366863905325</v>
      </c>
      <c r="T55" s="39">
        <f t="shared" si="34"/>
        <v>371.99999999999994</v>
      </c>
    </row>
    <row r="56" spans="2:20" ht="12.75">
      <c r="B56" s="36" t="s">
        <v>43</v>
      </c>
      <c r="C56" s="37">
        <v>2</v>
      </c>
      <c r="D56" s="37">
        <f t="shared" si="0"/>
        <v>0.4365079365079365</v>
      </c>
      <c r="E56" s="37">
        <v>31</v>
      </c>
      <c r="F56" s="37">
        <v>16</v>
      </c>
      <c r="G56" s="37">
        <v>0.5</v>
      </c>
      <c r="H56" s="37">
        <v>1352</v>
      </c>
      <c r="I56" s="56">
        <f>84.5/3</f>
        <v>28.166666666666668</v>
      </c>
      <c r="J56" s="38">
        <f t="shared" si="26"/>
        <v>14.537634408602152</v>
      </c>
      <c r="K56" s="39">
        <f t="shared" si="27"/>
        <v>1100.5917159763312</v>
      </c>
      <c r="M56" s="60">
        <f t="shared" si="28"/>
        <v>25.383171189622804</v>
      </c>
      <c r="N56" s="38">
        <f t="shared" si="29"/>
        <v>0.3698224852071006</v>
      </c>
      <c r="O56" s="38">
        <f t="shared" si="30"/>
        <v>0.03439349112426035</v>
      </c>
      <c r="P56" s="38">
        <f t="shared" si="7"/>
        <v>29.075268817204304</v>
      </c>
      <c r="Q56" s="38">
        <f t="shared" si="31"/>
        <v>46.49999999999999</v>
      </c>
      <c r="R56" s="38">
        <f t="shared" si="32"/>
        <v>0.7396449704142012</v>
      </c>
      <c r="S56" s="38">
        <f t="shared" si="33"/>
        <v>0.017196745562130175</v>
      </c>
      <c r="T56" s="39">
        <f t="shared" si="34"/>
        <v>92.99999999999999</v>
      </c>
    </row>
    <row r="57" spans="2:20" ht="13.5" thickBot="1">
      <c r="B57" s="41" t="s">
        <v>43</v>
      </c>
      <c r="C57" s="42">
        <v>2</v>
      </c>
      <c r="D57" s="42">
        <f t="shared" si="0"/>
        <v>0.4365079365079365</v>
      </c>
      <c r="E57" s="42">
        <v>31</v>
      </c>
      <c r="F57" s="42">
        <v>16</v>
      </c>
      <c r="G57" s="42">
        <v>0.125</v>
      </c>
      <c r="H57" s="42">
        <v>1352</v>
      </c>
      <c r="I57" s="57">
        <f>21.125/3</f>
        <v>7.041666666666667</v>
      </c>
      <c r="J57" s="43">
        <f t="shared" si="26"/>
        <v>3.634408602150538</v>
      </c>
      <c r="K57" s="44">
        <f t="shared" si="27"/>
        <v>4402.366863905325</v>
      </c>
      <c r="M57" s="61">
        <f t="shared" si="28"/>
        <v>25.383171189622804</v>
      </c>
      <c r="N57" s="43">
        <f t="shared" si="29"/>
        <v>0.09245562130177515</v>
      </c>
      <c r="O57" s="43">
        <f t="shared" si="30"/>
        <v>0.03439349112426035</v>
      </c>
      <c r="P57" s="43">
        <f t="shared" si="7"/>
        <v>29.075268817204304</v>
      </c>
      <c r="Q57" s="43">
        <f t="shared" si="31"/>
        <v>46.49999999999999</v>
      </c>
      <c r="R57" s="43">
        <f t="shared" si="32"/>
        <v>0.7396449704142012</v>
      </c>
      <c r="S57" s="43">
        <f t="shared" si="33"/>
        <v>0.017196745562130175</v>
      </c>
      <c r="T57" s="44">
        <f t="shared" si="34"/>
        <v>371.99999999999994</v>
      </c>
    </row>
    <row r="58" spans="3:13" ht="13.5" thickBot="1">
      <c r="C58" s="2"/>
      <c r="D58" s="2"/>
      <c r="E58" s="2"/>
      <c r="F58" s="2"/>
      <c r="G58" s="2"/>
      <c r="H58" s="2"/>
      <c r="I58" s="2"/>
      <c r="K58" s="38"/>
      <c r="M58" s="50"/>
    </row>
    <row r="59" spans="2:20" ht="12.75">
      <c r="B59" s="32" t="s">
        <v>44</v>
      </c>
      <c r="C59" s="33">
        <v>2</v>
      </c>
      <c r="D59" s="33">
        <f t="shared" si="0"/>
        <v>0.4365079365079365</v>
      </c>
      <c r="E59" s="33">
        <v>31</v>
      </c>
      <c r="F59" s="33">
        <v>16</v>
      </c>
      <c r="G59" s="33">
        <v>16</v>
      </c>
      <c r="H59" s="33">
        <v>1342.5</v>
      </c>
      <c r="I59" s="54">
        <f>83.90625/3</f>
        <v>27.96875</v>
      </c>
      <c r="J59" s="34">
        <f aca="true" t="shared" si="35" ref="J59:J68">I59*F59/E59</f>
        <v>14.435483870967742</v>
      </c>
      <c r="K59" s="35">
        <f aca="true" t="shared" si="36" ref="K59:K68">E59/I59*1000</f>
        <v>1108.3798882681563</v>
      </c>
      <c r="M59" s="58">
        <f aca="true" t="shared" si="37" ref="M59:M68">P59*C59*D59</f>
        <v>0.7876504096262161</v>
      </c>
      <c r="N59" s="34">
        <f aca="true" t="shared" si="38" ref="N59:N68">G59/H59*1000</f>
        <v>11.91806331471136</v>
      </c>
      <c r="O59" s="34">
        <f aca="true" t="shared" si="39" ref="O59:O68">G59/J59</f>
        <v>1.1083798882681564</v>
      </c>
      <c r="P59" s="34">
        <f t="shared" si="7"/>
        <v>0.9022177419354839</v>
      </c>
      <c r="Q59" s="34">
        <f aca="true" t="shared" si="40" ref="Q59:Q68">H59*O59</f>
        <v>1488</v>
      </c>
      <c r="R59" s="34">
        <f aca="true" t="shared" si="41" ref="R59:R68">O59*1000/Q59</f>
        <v>0.7448789571694598</v>
      </c>
      <c r="S59" s="34">
        <f aca="true" t="shared" si="42" ref="S59:S68">O59/C59</f>
        <v>0.5541899441340782</v>
      </c>
      <c r="T59" s="35">
        <f aca="true" t="shared" si="43" ref="T59:T68">O59*1000/N59</f>
        <v>92.99999999999999</v>
      </c>
    </row>
    <row r="60" spans="2:20" ht="12.75">
      <c r="B60" s="36" t="s">
        <v>44</v>
      </c>
      <c r="C60" s="37">
        <v>2</v>
      </c>
      <c r="D60" s="37">
        <f t="shared" si="0"/>
        <v>0.4365079365079365</v>
      </c>
      <c r="E60" s="37">
        <v>31</v>
      </c>
      <c r="F60" s="37">
        <v>16</v>
      </c>
      <c r="G60" s="37">
        <v>4</v>
      </c>
      <c r="H60" s="37">
        <v>1342.5</v>
      </c>
      <c r="I60" s="56">
        <f>83.90625/3/4</f>
        <v>6.9921875</v>
      </c>
      <c r="J60" s="38">
        <f t="shared" si="35"/>
        <v>3.6088709677419355</v>
      </c>
      <c r="K60" s="39">
        <f t="shared" si="36"/>
        <v>4433.519553072625</v>
      </c>
      <c r="M60" s="60">
        <f t="shared" si="37"/>
        <v>0.7876504096262161</v>
      </c>
      <c r="N60" s="38">
        <f t="shared" si="38"/>
        <v>2.97951582867784</v>
      </c>
      <c r="O60" s="38">
        <f t="shared" si="39"/>
        <v>1.1083798882681564</v>
      </c>
      <c r="P60" s="38">
        <f t="shared" si="7"/>
        <v>0.9022177419354839</v>
      </c>
      <c r="Q60" s="38">
        <f t="shared" si="40"/>
        <v>1488</v>
      </c>
      <c r="R60" s="38">
        <f t="shared" si="41"/>
        <v>0.7448789571694598</v>
      </c>
      <c r="S60" s="38">
        <f t="shared" si="42"/>
        <v>0.5541899441340782</v>
      </c>
      <c r="T60" s="39">
        <f t="shared" si="43"/>
        <v>371.99999999999994</v>
      </c>
    </row>
    <row r="61" spans="2:20" ht="12.75">
      <c r="B61" s="36" t="s">
        <v>44</v>
      </c>
      <c r="C61" s="37">
        <v>2</v>
      </c>
      <c r="D61" s="37">
        <f t="shared" si="0"/>
        <v>0.4365079365079365</v>
      </c>
      <c r="E61" s="37">
        <v>31</v>
      </c>
      <c r="F61" s="37">
        <v>16</v>
      </c>
      <c r="G61" s="37">
        <v>2</v>
      </c>
      <c r="H61" s="37">
        <v>1342.5</v>
      </c>
      <c r="I61" s="56">
        <f>83.90625/3</f>
        <v>27.96875</v>
      </c>
      <c r="J61" s="38">
        <f t="shared" si="35"/>
        <v>14.435483870967742</v>
      </c>
      <c r="K61" s="39">
        <f t="shared" si="36"/>
        <v>1108.3798882681563</v>
      </c>
      <c r="M61" s="60">
        <f t="shared" si="37"/>
        <v>6.301203277009729</v>
      </c>
      <c r="N61" s="38">
        <f t="shared" si="38"/>
        <v>1.48975791433892</v>
      </c>
      <c r="O61" s="38">
        <f t="shared" si="39"/>
        <v>0.13854748603351955</v>
      </c>
      <c r="P61" s="38">
        <f t="shared" si="7"/>
        <v>7.217741935483871</v>
      </c>
      <c r="Q61" s="38">
        <f t="shared" si="40"/>
        <v>186</v>
      </c>
      <c r="R61" s="38">
        <f t="shared" si="41"/>
        <v>0.7448789571694598</v>
      </c>
      <c r="S61" s="38">
        <f t="shared" si="42"/>
        <v>0.06927374301675977</v>
      </c>
      <c r="T61" s="39">
        <f t="shared" si="43"/>
        <v>92.99999999999999</v>
      </c>
    </row>
    <row r="62" spans="2:20" ht="12.75">
      <c r="B62" s="36" t="s">
        <v>44</v>
      </c>
      <c r="C62" s="37">
        <v>2</v>
      </c>
      <c r="D62" s="37">
        <f t="shared" si="0"/>
        <v>0.4365079365079365</v>
      </c>
      <c r="E62" s="37">
        <v>31</v>
      </c>
      <c r="F62" s="37">
        <v>16</v>
      </c>
      <c r="G62" s="40">
        <v>0.5</v>
      </c>
      <c r="H62" s="37">
        <v>1342.5</v>
      </c>
      <c r="I62" s="56">
        <f>83.90625/3/4</f>
        <v>6.9921875</v>
      </c>
      <c r="J62" s="38">
        <f t="shared" si="35"/>
        <v>3.6088709677419355</v>
      </c>
      <c r="K62" s="39">
        <f t="shared" si="36"/>
        <v>4433.519553072625</v>
      </c>
      <c r="M62" s="60">
        <f t="shared" si="37"/>
        <v>6.301203277009729</v>
      </c>
      <c r="N62" s="38">
        <f t="shared" si="38"/>
        <v>0.37243947858473</v>
      </c>
      <c r="O62" s="38">
        <f t="shared" si="39"/>
        <v>0.13854748603351955</v>
      </c>
      <c r="P62" s="38">
        <f t="shared" si="7"/>
        <v>7.217741935483871</v>
      </c>
      <c r="Q62" s="38">
        <f t="shared" si="40"/>
        <v>186</v>
      </c>
      <c r="R62" s="38">
        <f t="shared" si="41"/>
        <v>0.7448789571694598</v>
      </c>
      <c r="S62" s="38">
        <f t="shared" si="42"/>
        <v>0.06927374301675977</v>
      </c>
      <c r="T62" s="39">
        <f t="shared" si="43"/>
        <v>371.99999999999994</v>
      </c>
    </row>
    <row r="63" spans="2:20" ht="12.75">
      <c r="B63" s="36" t="s">
        <v>44</v>
      </c>
      <c r="C63" s="37">
        <v>2</v>
      </c>
      <c r="D63" s="37">
        <f t="shared" si="0"/>
        <v>0.4365079365079365</v>
      </c>
      <c r="E63" s="37">
        <v>31</v>
      </c>
      <c r="F63" s="37">
        <v>16</v>
      </c>
      <c r="G63" s="37">
        <v>1</v>
      </c>
      <c r="H63" s="37">
        <v>1342.5</v>
      </c>
      <c r="I63" s="56">
        <f>83.90625/3</f>
        <v>27.96875</v>
      </c>
      <c r="J63" s="38">
        <f t="shared" si="35"/>
        <v>14.435483870967742</v>
      </c>
      <c r="K63" s="39">
        <f t="shared" si="36"/>
        <v>1108.3798882681563</v>
      </c>
      <c r="M63" s="60">
        <f t="shared" si="37"/>
        <v>12.602406554019458</v>
      </c>
      <c r="N63" s="38">
        <f t="shared" si="38"/>
        <v>0.74487895716946</v>
      </c>
      <c r="O63" s="38">
        <f t="shared" si="39"/>
        <v>0.06927374301675977</v>
      </c>
      <c r="P63" s="38">
        <f t="shared" si="7"/>
        <v>14.435483870967742</v>
      </c>
      <c r="Q63" s="38">
        <f t="shared" si="40"/>
        <v>93</v>
      </c>
      <c r="R63" s="38">
        <f t="shared" si="41"/>
        <v>0.7448789571694598</v>
      </c>
      <c r="S63" s="38">
        <f t="shared" si="42"/>
        <v>0.034636871508379886</v>
      </c>
      <c r="T63" s="39">
        <f t="shared" si="43"/>
        <v>92.99999999999999</v>
      </c>
    </row>
    <row r="64" spans="2:20" ht="12.75">
      <c r="B64" s="36" t="s">
        <v>44</v>
      </c>
      <c r="C64" s="37">
        <v>2</v>
      </c>
      <c r="D64" s="37">
        <f t="shared" si="0"/>
        <v>0.4365079365079365</v>
      </c>
      <c r="E64" s="37">
        <v>31</v>
      </c>
      <c r="F64" s="37">
        <v>16</v>
      </c>
      <c r="G64" s="37">
        <v>0.25</v>
      </c>
      <c r="H64" s="37">
        <v>1342.5</v>
      </c>
      <c r="I64" s="56">
        <f>83.90625/3/4</f>
        <v>6.9921875</v>
      </c>
      <c r="J64" s="38">
        <f t="shared" si="35"/>
        <v>3.6088709677419355</v>
      </c>
      <c r="K64" s="39">
        <f t="shared" si="36"/>
        <v>4433.519553072625</v>
      </c>
      <c r="M64" s="60">
        <f t="shared" si="37"/>
        <v>12.602406554019458</v>
      </c>
      <c r="N64" s="38">
        <f t="shared" si="38"/>
        <v>0.186219739292365</v>
      </c>
      <c r="O64" s="38">
        <f t="shared" si="39"/>
        <v>0.06927374301675977</v>
      </c>
      <c r="P64" s="38">
        <f t="shared" si="7"/>
        <v>14.435483870967742</v>
      </c>
      <c r="Q64" s="38">
        <f t="shared" si="40"/>
        <v>93</v>
      </c>
      <c r="R64" s="38">
        <f t="shared" si="41"/>
        <v>0.7448789571694598</v>
      </c>
      <c r="S64" s="38">
        <f t="shared" si="42"/>
        <v>0.034636871508379886</v>
      </c>
      <c r="T64" s="39">
        <f t="shared" si="43"/>
        <v>371.99999999999994</v>
      </c>
    </row>
    <row r="65" spans="2:20" ht="12.75">
      <c r="B65" s="36" t="s">
        <v>44</v>
      </c>
      <c r="C65" s="37">
        <v>2</v>
      </c>
      <c r="D65" s="37">
        <f t="shared" si="0"/>
        <v>0.4365079365079365</v>
      </c>
      <c r="E65" s="37">
        <v>31</v>
      </c>
      <c r="F65" s="37">
        <v>16</v>
      </c>
      <c r="G65" s="37">
        <v>128</v>
      </c>
      <c r="H65" s="37">
        <v>1342.5</v>
      </c>
      <c r="I65" s="56">
        <f>83.90625/3</f>
        <v>27.96875</v>
      </c>
      <c r="J65" s="38">
        <f t="shared" si="35"/>
        <v>14.435483870967742</v>
      </c>
      <c r="K65" s="39">
        <f t="shared" si="36"/>
        <v>1108.3798882681563</v>
      </c>
      <c r="M65" s="60">
        <f t="shared" si="37"/>
        <v>0.09845630120327702</v>
      </c>
      <c r="N65" s="38">
        <f t="shared" si="38"/>
        <v>95.34450651769087</v>
      </c>
      <c r="O65" s="38">
        <f t="shared" si="39"/>
        <v>8.867039106145251</v>
      </c>
      <c r="P65" s="38">
        <f t="shared" si="7"/>
        <v>0.11277721774193548</v>
      </c>
      <c r="Q65" s="38">
        <f t="shared" si="40"/>
        <v>11904</v>
      </c>
      <c r="R65" s="38">
        <f t="shared" si="41"/>
        <v>0.7448789571694598</v>
      </c>
      <c r="S65" s="38">
        <f t="shared" si="42"/>
        <v>4.4335195530726255</v>
      </c>
      <c r="T65" s="39">
        <f t="shared" si="43"/>
        <v>92.99999999999999</v>
      </c>
    </row>
    <row r="66" spans="2:20" ht="12.75">
      <c r="B66" s="36" t="s">
        <v>44</v>
      </c>
      <c r="C66" s="37">
        <v>2</v>
      </c>
      <c r="D66" s="37">
        <f t="shared" si="0"/>
        <v>0.4365079365079365</v>
      </c>
      <c r="E66" s="37">
        <v>31</v>
      </c>
      <c r="F66" s="37">
        <v>16</v>
      </c>
      <c r="G66" s="37">
        <f>128/4</f>
        <v>32</v>
      </c>
      <c r="H66" s="37">
        <v>1342.5</v>
      </c>
      <c r="I66" s="56">
        <f>83.90625/3/4</f>
        <v>6.9921875</v>
      </c>
      <c r="J66" s="38">
        <f t="shared" si="35"/>
        <v>3.6088709677419355</v>
      </c>
      <c r="K66" s="39">
        <f t="shared" si="36"/>
        <v>4433.519553072625</v>
      </c>
      <c r="M66" s="60">
        <f t="shared" si="37"/>
        <v>0.09845630120327702</v>
      </c>
      <c r="N66" s="38">
        <f t="shared" si="38"/>
        <v>23.83612662942272</v>
      </c>
      <c r="O66" s="38">
        <f t="shared" si="39"/>
        <v>8.867039106145251</v>
      </c>
      <c r="P66" s="38">
        <f t="shared" si="7"/>
        <v>0.11277721774193548</v>
      </c>
      <c r="Q66" s="38">
        <f t="shared" si="40"/>
        <v>11904</v>
      </c>
      <c r="R66" s="38">
        <f t="shared" si="41"/>
        <v>0.7448789571694598</v>
      </c>
      <c r="S66" s="38">
        <f t="shared" si="42"/>
        <v>4.4335195530726255</v>
      </c>
      <c r="T66" s="39">
        <f t="shared" si="43"/>
        <v>371.99999999999994</v>
      </c>
    </row>
    <row r="67" spans="2:20" ht="14.25" customHeight="1">
      <c r="B67" s="36" t="s">
        <v>44</v>
      </c>
      <c r="C67" s="37">
        <v>2</v>
      </c>
      <c r="D67" s="37">
        <f t="shared" si="0"/>
        <v>0.4365079365079365</v>
      </c>
      <c r="E67" s="37">
        <v>31</v>
      </c>
      <c r="F67" s="37">
        <v>16</v>
      </c>
      <c r="G67" s="37">
        <v>0.5</v>
      </c>
      <c r="H67" s="37">
        <v>1342.5</v>
      </c>
      <c r="I67" s="56">
        <f>83.90625/3</f>
        <v>27.96875</v>
      </c>
      <c r="J67" s="38">
        <f t="shared" si="35"/>
        <v>14.435483870967742</v>
      </c>
      <c r="K67" s="39">
        <f t="shared" si="36"/>
        <v>1108.3798882681563</v>
      </c>
      <c r="M67" s="60">
        <f t="shared" si="37"/>
        <v>25.204813108038916</v>
      </c>
      <c r="N67" s="38">
        <f t="shared" si="38"/>
        <v>0.37243947858473</v>
      </c>
      <c r="O67" s="38">
        <f t="shared" si="39"/>
        <v>0.034636871508379886</v>
      </c>
      <c r="P67" s="38">
        <f t="shared" si="7"/>
        <v>28.870967741935484</v>
      </c>
      <c r="Q67" s="38">
        <f t="shared" si="40"/>
        <v>46.5</v>
      </c>
      <c r="R67" s="38">
        <f t="shared" si="41"/>
        <v>0.7448789571694598</v>
      </c>
      <c r="S67" s="38">
        <f t="shared" si="42"/>
        <v>0.017318435754189943</v>
      </c>
      <c r="T67" s="39">
        <f t="shared" si="43"/>
        <v>92.99999999999999</v>
      </c>
    </row>
    <row r="68" spans="2:20" ht="13.5" thickBot="1">
      <c r="B68" s="41" t="s">
        <v>44</v>
      </c>
      <c r="C68" s="42">
        <v>2</v>
      </c>
      <c r="D68" s="42">
        <f t="shared" si="0"/>
        <v>0.4365079365079365</v>
      </c>
      <c r="E68" s="42">
        <v>31</v>
      </c>
      <c r="F68" s="42">
        <v>16</v>
      </c>
      <c r="G68" s="42">
        <v>0.125</v>
      </c>
      <c r="H68" s="42">
        <v>1342.5</v>
      </c>
      <c r="I68" s="57">
        <f>83.90625/3/4</f>
        <v>6.9921875</v>
      </c>
      <c r="J68" s="43">
        <f t="shared" si="35"/>
        <v>3.6088709677419355</v>
      </c>
      <c r="K68" s="44">
        <f t="shared" si="36"/>
        <v>4433.519553072625</v>
      </c>
      <c r="M68" s="61">
        <f t="shared" si="37"/>
        <v>25.204813108038916</v>
      </c>
      <c r="N68" s="43">
        <f t="shared" si="38"/>
        <v>0.0931098696461825</v>
      </c>
      <c r="O68" s="43">
        <f t="shared" si="39"/>
        <v>0.034636871508379886</v>
      </c>
      <c r="P68" s="43">
        <f t="shared" si="7"/>
        <v>28.870967741935484</v>
      </c>
      <c r="Q68" s="43">
        <f t="shared" si="40"/>
        <v>46.5</v>
      </c>
      <c r="R68" s="43">
        <f t="shared" si="41"/>
        <v>0.7448789571694598</v>
      </c>
      <c r="S68" s="43">
        <f t="shared" si="42"/>
        <v>0.017318435754189943</v>
      </c>
      <c r="T68" s="44">
        <f t="shared" si="43"/>
        <v>371.99999999999994</v>
      </c>
    </row>
    <row r="69" spans="3:13" ht="12.75">
      <c r="C69" s="2"/>
      <c r="D69" s="2"/>
      <c r="E69" s="2"/>
      <c r="F69" s="2"/>
      <c r="G69" s="2"/>
      <c r="H69" s="2"/>
      <c r="I69" s="2"/>
      <c r="K69" s="38"/>
      <c r="M69" s="50"/>
    </row>
    <row r="70" spans="3:13" ht="12.75">
      <c r="C70" s="2"/>
      <c r="D70" s="2"/>
      <c r="E70" s="2"/>
      <c r="F70" s="2"/>
      <c r="G70" s="2"/>
      <c r="H70" s="2"/>
      <c r="I70" s="2"/>
      <c r="K70" s="38"/>
      <c r="M70" s="50"/>
    </row>
    <row r="73" spans="2:4" ht="191.25">
      <c r="B73" s="1" t="s">
        <v>38</v>
      </c>
      <c r="D73" s="1" t="s">
        <v>24</v>
      </c>
    </row>
  </sheetData>
  <mergeCells count="2">
    <mergeCell ref="I2:K2"/>
    <mergeCell ref="M2:T2"/>
  </mergeCells>
  <printOptions/>
  <pageMargins left="0.75" right="0.75" top="1" bottom="1" header="0.5" footer="0.5"/>
  <pageSetup orientation="portrait" paperSize="9"/>
  <ignoredErrors>
    <ignoredError sqref="I16 I20" formula="1"/>
  </ignoredErrors>
  <legacyDrawing r:id="rId2"/>
</worksheet>
</file>

<file path=xl/worksheets/sheet3.xml><?xml version="1.0" encoding="utf-8"?>
<worksheet xmlns="http://schemas.openxmlformats.org/spreadsheetml/2006/main" xmlns:r="http://schemas.openxmlformats.org/officeDocument/2006/relationships">
  <dimension ref="A1:S19"/>
  <sheetViews>
    <sheetView zoomScale="88" zoomScaleNormal="88" workbookViewId="0" topLeftCell="A1">
      <selection activeCell="A1" sqref="A1:S1"/>
    </sheetView>
  </sheetViews>
  <sheetFormatPr defaultColWidth="9.140625" defaultRowHeight="12.75"/>
  <cols>
    <col min="1" max="1" width="10.140625" style="15" customWidth="1"/>
    <col min="2" max="2" width="12.8515625" style="15" customWidth="1"/>
    <col min="3" max="3" width="20.57421875" style="15" customWidth="1"/>
    <col min="4" max="4" width="6.7109375" style="15" customWidth="1"/>
    <col min="5" max="6" width="11.140625" style="15" customWidth="1"/>
    <col min="7" max="7" width="9.00390625" style="15" customWidth="1"/>
    <col min="8" max="8" width="8.140625" style="15" customWidth="1"/>
    <col min="9" max="9" width="9.57421875" style="15" customWidth="1"/>
    <col min="10" max="10" width="9.00390625" style="15" customWidth="1"/>
    <col min="11" max="11" width="7.28125" style="15" customWidth="1"/>
    <col min="12" max="12" width="14.28125" style="15" customWidth="1"/>
    <col min="13" max="13" width="8.28125" style="15" customWidth="1"/>
    <col min="14" max="14" width="7.421875" style="15" customWidth="1"/>
    <col min="15" max="15" width="10.00390625" style="15" customWidth="1"/>
    <col min="16" max="16" width="8.421875" style="15" customWidth="1"/>
    <col min="17" max="17" width="11.28125" style="15" customWidth="1"/>
    <col min="18" max="18" width="14.8515625" style="15" customWidth="1"/>
    <col min="19" max="16384" width="11.421875" style="15" customWidth="1"/>
  </cols>
  <sheetData>
    <row r="1" spans="1:19" ht="63.75" customHeight="1">
      <c r="A1" s="5" t="s">
        <v>6</v>
      </c>
      <c r="B1" s="5" t="s">
        <v>0</v>
      </c>
      <c r="C1" s="5" t="s">
        <v>2</v>
      </c>
      <c r="D1" s="24" t="s">
        <v>12</v>
      </c>
      <c r="E1" s="24" t="s">
        <v>10</v>
      </c>
      <c r="F1" s="6" t="s">
        <v>11</v>
      </c>
      <c r="G1" s="24" t="s">
        <v>7</v>
      </c>
      <c r="H1" s="24" t="s">
        <v>4</v>
      </c>
      <c r="I1" s="5" t="s">
        <v>5</v>
      </c>
      <c r="J1" s="5" t="s">
        <v>18</v>
      </c>
      <c r="K1" s="24" t="s">
        <v>8</v>
      </c>
      <c r="L1" s="5" t="s">
        <v>9</v>
      </c>
      <c r="M1" s="24" t="s">
        <v>3</v>
      </c>
      <c r="N1" s="24" t="s">
        <v>17</v>
      </c>
      <c r="O1" s="5" t="s">
        <v>8</v>
      </c>
      <c r="P1" s="25" t="s">
        <v>14</v>
      </c>
      <c r="Q1" s="25" t="s">
        <v>15</v>
      </c>
      <c r="R1" s="12" t="s">
        <v>16</v>
      </c>
      <c r="S1" s="26"/>
    </row>
    <row r="2" spans="1:18" ht="36.75" customHeight="1">
      <c r="A2" s="7">
        <f>G2*D2</f>
        <v>0.8397375079063885</v>
      </c>
      <c r="B2" s="7" t="s">
        <v>1</v>
      </c>
      <c r="C2" s="7" t="s">
        <v>13</v>
      </c>
      <c r="D2" s="8">
        <f>43/51*0.5</f>
        <v>0.4215686274509804</v>
      </c>
      <c r="E2" s="9">
        <v>2</v>
      </c>
      <c r="F2" s="14">
        <v>1</v>
      </c>
      <c r="G2" s="9">
        <f>H2*E2</f>
        <v>1.991935483870968</v>
      </c>
      <c r="H2" s="9">
        <f>1/I2</f>
        <v>0.995967741935484</v>
      </c>
      <c r="I2" s="7">
        <f>L2/M2</f>
        <v>1.0040485829959513</v>
      </c>
      <c r="J2" s="7">
        <f>I2*K2</f>
        <v>495.99999999999994</v>
      </c>
      <c r="K2" s="9">
        <v>494</v>
      </c>
      <c r="L2" s="7">
        <v>16</v>
      </c>
      <c r="M2" s="10">
        <f>O2*Q2/P2</f>
        <v>15.935483870967742</v>
      </c>
      <c r="N2" s="9">
        <f>L2/K2*1000</f>
        <v>32.388663967611336</v>
      </c>
      <c r="O2" s="7">
        <f>K2/16</f>
        <v>30.875</v>
      </c>
      <c r="P2" s="4">
        <v>31</v>
      </c>
      <c r="Q2" s="4">
        <v>16</v>
      </c>
      <c r="R2" s="3">
        <f>P2/O2</f>
        <v>1.0040485829959513</v>
      </c>
    </row>
    <row r="3" spans="1:18" ht="31.5">
      <c r="A3" s="7">
        <f>G3*D3</f>
        <v>0.8397375079063885</v>
      </c>
      <c r="B3" s="7" t="s">
        <v>1</v>
      </c>
      <c r="C3" s="7" t="s">
        <v>13</v>
      </c>
      <c r="D3" s="8">
        <f>1/2*43/51</f>
        <v>0.4215686274509804</v>
      </c>
      <c r="E3" s="9">
        <v>2</v>
      </c>
      <c r="F3" s="14">
        <v>1</v>
      </c>
      <c r="G3" s="9">
        <f>H3*E3</f>
        <v>1.991935483870968</v>
      </c>
      <c r="H3" s="9">
        <f>1/I3</f>
        <v>0.995967741935484</v>
      </c>
      <c r="I3" s="7">
        <f>L3/M3</f>
        <v>1.0040485829959513</v>
      </c>
      <c r="J3" s="7">
        <f>I3*K3</f>
        <v>495.99999999999994</v>
      </c>
      <c r="K3" s="9">
        <v>494</v>
      </c>
      <c r="L3" s="7">
        <v>4</v>
      </c>
      <c r="M3" s="10">
        <f>O3*Q3/P3</f>
        <v>3.9838709677419355</v>
      </c>
      <c r="N3" s="9">
        <f>L3/K3*1000</f>
        <v>8.097165991902834</v>
      </c>
      <c r="O3" s="7">
        <f>K3/16/4</f>
        <v>7.71875</v>
      </c>
      <c r="P3" s="4">
        <v>31</v>
      </c>
      <c r="Q3" s="4">
        <v>16</v>
      </c>
      <c r="R3" s="3">
        <f>P3/O3</f>
        <v>4.016194331983805</v>
      </c>
    </row>
    <row r="4" spans="1:18" ht="15.75">
      <c r="A4" s="4"/>
      <c r="B4" s="4"/>
      <c r="C4" s="4"/>
      <c r="D4" s="4"/>
      <c r="E4" s="4"/>
      <c r="F4" s="4"/>
      <c r="G4" s="4"/>
      <c r="H4" s="4"/>
      <c r="I4" s="4"/>
      <c r="J4" s="4"/>
      <c r="K4" s="4"/>
      <c r="L4" s="3"/>
      <c r="M4" s="11"/>
      <c r="N4" s="4"/>
      <c r="O4" s="3"/>
      <c r="P4" s="4"/>
      <c r="Q4" s="4"/>
      <c r="R4" s="3"/>
    </row>
    <row r="5" spans="1:18" ht="31.5">
      <c r="A5" s="7">
        <f>G5*D5</f>
        <v>0.10496718848829856</v>
      </c>
      <c r="B5" s="7" t="s">
        <v>1</v>
      </c>
      <c r="C5" s="7" t="s">
        <v>13</v>
      </c>
      <c r="D5" s="8">
        <f>43/51*0.5</f>
        <v>0.4215686274509804</v>
      </c>
      <c r="E5" s="9">
        <v>2</v>
      </c>
      <c r="F5" s="14">
        <v>1</v>
      </c>
      <c r="G5" s="9">
        <f>H5*E5</f>
        <v>0.248991935483871</v>
      </c>
      <c r="H5" s="9">
        <f>1/I5</f>
        <v>0.1244959677419355</v>
      </c>
      <c r="I5" s="7">
        <f>L5/M5</f>
        <v>8.03238866396761</v>
      </c>
      <c r="J5" s="7">
        <f>I5*K5</f>
        <v>3967.9999999999995</v>
      </c>
      <c r="K5" s="9">
        <v>494</v>
      </c>
      <c r="L5" s="7">
        <v>128</v>
      </c>
      <c r="M5" s="10">
        <f>O5*Q5/P5</f>
        <v>15.935483870967742</v>
      </c>
      <c r="N5" s="9">
        <f>L5/K5*1000</f>
        <v>259.1093117408907</v>
      </c>
      <c r="O5" s="7">
        <f>K5/16</f>
        <v>30.875</v>
      </c>
      <c r="P5" s="4">
        <v>31</v>
      </c>
      <c r="Q5" s="4">
        <v>16</v>
      </c>
      <c r="R5" s="3">
        <f>P5/O5</f>
        <v>1.0040485829959513</v>
      </c>
    </row>
    <row r="6" spans="1:18" ht="31.5">
      <c r="A6" s="7">
        <f>G6*D6</f>
        <v>0.10496718848829856</v>
      </c>
      <c r="B6" s="7" t="s">
        <v>1</v>
      </c>
      <c r="C6" s="7" t="s">
        <v>13</v>
      </c>
      <c r="D6" s="8">
        <f>1/2*43/51</f>
        <v>0.4215686274509804</v>
      </c>
      <c r="E6" s="9">
        <v>2</v>
      </c>
      <c r="F6" s="14">
        <v>1</v>
      </c>
      <c r="G6" s="9">
        <f>H6*E6</f>
        <v>0.248991935483871</v>
      </c>
      <c r="H6" s="9">
        <f>1/I6</f>
        <v>0.1244959677419355</v>
      </c>
      <c r="I6" s="7">
        <f>L6/M6</f>
        <v>8.03238866396761</v>
      </c>
      <c r="J6" s="7">
        <f>I6*K6</f>
        <v>3967.9999999999995</v>
      </c>
      <c r="K6" s="9">
        <v>494</v>
      </c>
      <c r="L6" s="7">
        <v>32</v>
      </c>
      <c r="M6" s="10">
        <f>O6*Q6/P6</f>
        <v>3.9838709677419355</v>
      </c>
      <c r="N6" s="9">
        <f>L6/K6*1000</f>
        <v>64.77732793522267</v>
      </c>
      <c r="O6" s="7">
        <f>K6/16/4</f>
        <v>7.71875</v>
      </c>
      <c r="P6" s="4">
        <v>31</v>
      </c>
      <c r="Q6" s="4">
        <v>16</v>
      </c>
      <c r="R6" s="3">
        <f>P6/O6</f>
        <v>4.016194331983805</v>
      </c>
    </row>
    <row r="7" spans="1:18" ht="15.75">
      <c r="A7" s="16"/>
      <c r="B7" s="16"/>
      <c r="C7" s="16"/>
      <c r="D7" s="17"/>
      <c r="E7" s="17"/>
      <c r="F7" s="17"/>
      <c r="G7" s="17"/>
      <c r="H7" s="17"/>
      <c r="I7" s="16"/>
      <c r="J7" s="16"/>
      <c r="K7" s="17"/>
      <c r="L7" s="16"/>
      <c r="M7" s="17"/>
      <c r="N7" s="17"/>
      <c r="O7" s="17"/>
      <c r="R7" s="18"/>
    </row>
    <row r="8" spans="1:18" ht="31.5">
      <c r="A8" s="7">
        <f>G8*D8</f>
        <v>13.435800126502215</v>
      </c>
      <c r="B8" s="7" t="s">
        <v>1</v>
      </c>
      <c r="C8" s="7" t="s">
        <v>13</v>
      </c>
      <c r="D8" s="8">
        <f>43/51*0.5</f>
        <v>0.4215686274509804</v>
      </c>
      <c r="E8" s="9">
        <v>2</v>
      </c>
      <c r="F8" s="14">
        <v>1</v>
      </c>
      <c r="G8" s="9">
        <f>H8*E8</f>
        <v>31.870967741935488</v>
      </c>
      <c r="H8" s="9">
        <f>1/I8</f>
        <v>15.935483870967744</v>
      </c>
      <c r="I8" s="7">
        <f>L8/M8</f>
        <v>0.06275303643724696</v>
      </c>
      <c r="J8" s="7">
        <f>I8*K8</f>
        <v>30.999999999999996</v>
      </c>
      <c r="K8" s="9">
        <v>494</v>
      </c>
      <c r="L8" s="7">
        <v>1</v>
      </c>
      <c r="M8" s="10">
        <f>O8*Q8/P8</f>
        <v>15.935483870967742</v>
      </c>
      <c r="N8" s="9">
        <f>L8/K8*1000</f>
        <v>2.0242914979757085</v>
      </c>
      <c r="O8" s="7">
        <f>K8/16</f>
        <v>30.875</v>
      </c>
      <c r="P8" s="4">
        <v>31</v>
      </c>
      <c r="Q8" s="4">
        <v>16</v>
      </c>
      <c r="R8" s="3">
        <f>P8/O8</f>
        <v>1.0040485829959513</v>
      </c>
    </row>
    <row r="9" spans="1:18" ht="31.5">
      <c r="A9" s="7">
        <f>G9*D9</f>
        <v>13.435800126502215</v>
      </c>
      <c r="B9" s="7" t="s">
        <v>1</v>
      </c>
      <c r="C9" s="7" t="s">
        <v>13</v>
      </c>
      <c r="D9" s="8">
        <f>1/2*43/51</f>
        <v>0.4215686274509804</v>
      </c>
      <c r="E9" s="9">
        <v>2</v>
      </c>
      <c r="F9" s="14">
        <v>1</v>
      </c>
      <c r="G9" s="9">
        <f>H9*E9</f>
        <v>31.870967741935488</v>
      </c>
      <c r="H9" s="9">
        <f>1/I9</f>
        <v>15.935483870967744</v>
      </c>
      <c r="I9" s="7">
        <f>L9/M9</f>
        <v>0.06275303643724696</v>
      </c>
      <c r="J9" s="7">
        <f>I9*K9</f>
        <v>30.999999999999996</v>
      </c>
      <c r="K9" s="9">
        <v>494</v>
      </c>
      <c r="L9" s="13">
        <v>0.25</v>
      </c>
      <c r="M9" s="10">
        <f>O9*Q9/P9</f>
        <v>3.9838709677419355</v>
      </c>
      <c r="N9" s="9">
        <f>L9/K9*1000</f>
        <v>0.5060728744939271</v>
      </c>
      <c r="O9" s="7">
        <f>K9/16/4</f>
        <v>7.71875</v>
      </c>
      <c r="P9" s="4">
        <v>31</v>
      </c>
      <c r="Q9" s="4">
        <v>16</v>
      </c>
      <c r="R9" s="3">
        <f>P9/O9</f>
        <v>4.016194331983805</v>
      </c>
    </row>
    <row r="10" spans="1:18" ht="15.75">
      <c r="A10" s="19"/>
      <c r="B10" s="19"/>
      <c r="C10" s="19"/>
      <c r="D10" s="20"/>
      <c r="E10" s="21"/>
      <c r="F10" s="21"/>
      <c r="G10" s="21"/>
      <c r="H10" s="21"/>
      <c r="I10" s="19"/>
      <c r="J10" s="19"/>
      <c r="K10" s="21"/>
      <c r="L10" s="19"/>
      <c r="M10" s="21"/>
      <c r="N10" s="21"/>
      <c r="O10" s="21"/>
      <c r="R10" s="18"/>
    </row>
    <row r="11" spans="1:18" ht="31.5">
      <c r="A11" s="7">
        <f>G11*D11</f>
        <v>6.717900063251108</v>
      </c>
      <c r="B11" s="7" t="s">
        <v>1</v>
      </c>
      <c r="C11" s="7" t="s">
        <v>13</v>
      </c>
      <c r="D11" s="8">
        <f>43/51*0.5</f>
        <v>0.4215686274509804</v>
      </c>
      <c r="E11" s="9">
        <v>2</v>
      </c>
      <c r="F11" s="14">
        <v>1</v>
      </c>
      <c r="G11" s="9">
        <f>H11*E11</f>
        <v>15.935483870967744</v>
      </c>
      <c r="H11" s="9">
        <f>1/I11</f>
        <v>7.967741935483872</v>
      </c>
      <c r="I11" s="7">
        <f>L11/M11</f>
        <v>0.12550607287449392</v>
      </c>
      <c r="J11" s="7">
        <f>I11*K11</f>
        <v>61.99999999999999</v>
      </c>
      <c r="K11" s="9">
        <v>494</v>
      </c>
      <c r="L11" s="7">
        <v>2</v>
      </c>
      <c r="M11" s="10">
        <f>O11*Q11/P11</f>
        <v>15.935483870967742</v>
      </c>
      <c r="N11" s="9">
        <f>L11/K11*1000</f>
        <v>4.048582995951417</v>
      </c>
      <c r="O11" s="7">
        <f>K11/16</f>
        <v>30.875</v>
      </c>
      <c r="P11" s="4">
        <v>31</v>
      </c>
      <c r="Q11" s="4">
        <v>16</v>
      </c>
      <c r="R11" s="3">
        <f>P11/O11</f>
        <v>1.0040485829959513</v>
      </c>
    </row>
    <row r="12" spans="1:18" ht="31.5">
      <c r="A12" s="7">
        <f>G12*D12</f>
        <v>6.717900063251108</v>
      </c>
      <c r="B12" s="7" t="s">
        <v>1</v>
      </c>
      <c r="C12" s="7" t="s">
        <v>13</v>
      </c>
      <c r="D12" s="8">
        <f>1/2*43/51</f>
        <v>0.4215686274509804</v>
      </c>
      <c r="E12" s="9">
        <v>2</v>
      </c>
      <c r="F12" s="14">
        <v>1</v>
      </c>
      <c r="G12" s="9">
        <f>H12*E12</f>
        <v>15.935483870967744</v>
      </c>
      <c r="H12" s="9">
        <f>1/I12</f>
        <v>7.967741935483872</v>
      </c>
      <c r="I12" s="7">
        <f>L12/M12</f>
        <v>0.12550607287449392</v>
      </c>
      <c r="J12" s="7">
        <f>I12*K12</f>
        <v>61.99999999999999</v>
      </c>
      <c r="K12" s="9">
        <v>494</v>
      </c>
      <c r="L12" s="13">
        <v>0.5</v>
      </c>
      <c r="M12" s="10">
        <f>O12*Q12/P12</f>
        <v>3.9838709677419355</v>
      </c>
      <c r="N12" s="9">
        <f>L12/K12*1000</f>
        <v>1.0121457489878543</v>
      </c>
      <c r="O12" s="7">
        <f>K12/16/4</f>
        <v>7.71875</v>
      </c>
      <c r="P12" s="4">
        <v>31</v>
      </c>
      <c r="Q12" s="4">
        <v>16</v>
      </c>
      <c r="R12" s="3">
        <f>P12/O12</f>
        <v>4.016194331983805</v>
      </c>
    </row>
    <row r="13" spans="1:18" ht="15.75">
      <c r="A13" s="19"/>
      <c r="B13" s="19"/>
      <c r="C13" s="19"/>
      <c r="D13" s="20"/>
      <c r="E13" s="21"/>
      <c r="F13" s="21"/>
      <c r="G13" s="21"/>
      <c r="H13" s="21"/>
      <c r="I13" s="19"/>
      <c r="J13" s="19"/>
      <c r="K13" s="22"/>
      <c r="L13" s="19"/>
      <c r="M13" s="21"/>
      <c r="N13" s="21"/>
      <c r="O13" s="21"/>
      <c r="R13" s="18"/>
    </row>
    <row r="14" spans="1:18" ht="31.5">
      <c r="A14" s="7">
        <f>G14*D14</f>
        <v>3.358950031625554</v>
      </c>
      <c r="B14" s="7" t="s">
        <v>1</v>
      </c>
      <c r="C14" s="7" t="s">
        <v>13</v>
      </c>
      <c r="D14" s="8">
        <f>43/51*0.5</f>
        <v>0.4215686274509804</v>
      </c>
      <c r="E14" s="9">
        <v>2</v>
      </c>
      <c r="F14" s="14">
        <v>1</v>
      </c>
      <c r="G14" s="9">
        <f>H14*E14</f>
        <v>7.967741935483872</v>
      </c>
      <c r="H14" s="9">
        <f>1/I14</f>
        <v>3.983870967741936</v>
      </c>
      <c r="I14" s="7">
        <f>L14/M14</f>
        <v>0.25101214574898784</v>
      </c>
      <c r="J14" s="7">
        <f>I14*K14</f>
        <v>123.99999999999999</v>
      </c>
      <c r="K14" s="9">
        <v>494</v>
      </c>
      <c r="L14" s="7">
        <v>4</v>
      </c>
      <c r="M14" s="10">
        <f>O14*Q14/P14</f>
        <v>15.935483870967742</v>
      </c>
      <c r="N14" s="9">
        <f>L14/K14*1000</f>
        <v>8.097165991902834</v>
      </c>
      <c r="O14" s="7">
        <f>K14/16</f>
        <v>30.875</v>
      </c>
      <c r="P14" s="4">
        <v>31</v>
      </c>
      <c r="Q14" s="4">
        <v>16</v>
      </c>
      <c r="R14" s="3">
        <f>P14/O14</f>
        <v>1.0040485829959513</v>
      </c>
    </row>
    <row r="15" spans="1:18" ht="31.5">
      <c r="A15" s="7">
        <f>G15*D15</f>
        <v>3.358950031625554</v>
      </c>
      <c r="B15" s="7" t="s">
        <v>1</v>
      </c>
      <c r="C15" s="7" t="s">
        <v>13</v>
      </c>
      <c r="D15" s="8">
        <f>1/2*43/51</f>
        <v>0.4215686274509804</v>
      </c>
      <c r="E15" s="9">
        <v>2</v>
      </c>
      <c r="F15" s="14">
        <v>1</v>
      </c>
      <c r="G15" s="9">
        <f>H15*E15</f>
        <v>7.967741935483872</v>
      </c>
      <c r="H15" s="9">
        <f>1/I15</f>
        <v>3.983870967741936</v>
      </c>
      <c r="I15" s="7">
        <f>L15/M15</f>
        <v>0.25101214574898784</v>
      </c>
      <c r="J15" s="7">
        <f>I15*K15</f>
        <v>123.99999999999999</v>
      </c>
      <c r="K15" s="9">
        <v>494</v>
      </c>
      <c r="L15" s="7">
        <v>1</v>
      </c>
      <c r="M15" s="10">
        <f>O15*Q15/P15</f>
        <v>3.9838709677419355</v>
      </c>
      <c r="N15" s="9">
        <f>L15/K15*1000</f>
        <v>2.0242914979757085</v>
      </c>
      <c r="O15" s="7">
        <f>K15/16/4</f>
        <v>7.71875</v>
      </c>
      <c r="P15" s="4">
        <v>31</v>
      </c>
      <c r="Q15" s="4">
        <v>16</v>
      </c>
      <c r="R15" s="3">
        <f>P15/O15</f>
        <v>4.016194331983805</v>
      </c>
    </row>
    <row r="16" spans="14:15" ht="15">
      <c r="N16" s="21"/>
      <c r="O16" s="21"/>
    </row>
    <row r="18" ht="15.75">
      <c r="M18" s="23"/>
    </row>
    <row r="19" ht="15.75">
      <c r="M19" s="23"/>
    </row>
  </sheetData>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CEA-GRENOBLE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OuvryLa</dc:creator>
  <cp:keywords/>
  <dc:description/>
  <cp:lastModifiedBy>Philip Orlik</cp:lastModifiedBy>
  <cp:lastPrinted>2005-09-30T12:42:38Z</cp:lastPrinted>
  <dcterms:created xsi:type="dcterms:W3CDTF">2005-09-30T11:31:41Z</dcterms:created>
  <dcterms:modified xsi:type="dcterms:W3CDTF">2005-11-28T21:14:44Z</dcterms:modified>
  <cp:category/>
  <cp:version/>
  <cp:contentType/>
  <cp:contentStatus/>
</cp:coreProperties>
</file>