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96" windowWidth="13884" windowHeight="7896"/>
  </bookViews>
  <sheets>
    <sheet name="Link Budget" sheetId="9" r:id="rId1"/>
    <sheet name="LTE" sheetId="10" r:id="rId2"/>
    <sheet name="Sheet2" sheetId="11" r:id="rId3"/>
  </sheets>
  <definedNames>
    <definedName name="antenna_power_GN">#REF!</definedName>
    <definedName name="ASM_IL_GN">#REF!</definedName>
    <definedName name="v">#REF!</definedName>
    <definedName name="VBAT_typ">#REF!</definedName>
    <definedName name="VBAT_X">#REF!</definedName>
  </definedNames>
  <calcPr calcId="125725"/>
</workbook>
</file>

<file path=xl/calcChain.xml><?xml version="1.0" encoding="utf-8"?>
<calcChain xmlns="http://schemas.openxmlformats.org/spreadsheetml/2006/main">
  <c r="I62" i="10"/>
  <c r="I60" s="1"/>
  <c r="I51"/>
  <c r="I50"/>
  <c r="C26" i="9"/>
  <c r="D26"/>
  <c r="M53" i="10" l="1"/>
  <c r="I64"/>
  <c r="D16" i="9" l="1"/>
  <c r="D15"/>
  <c r="D14"/>
  <c r="D17" l="1"/>
  <c r="L15" i="10"/>
  <c r="K15"/>
  <c r="M15"/>
  <c r="J15"/>
  <c r="I15"/>
  <c r="H15"/>
  <c r="M14"/>
  <c r="L14"/>
  <c r="K14"/>
  <c r="J14"/>
  <c r="I14"/>
  <c r="H14"/>
  <c r="D27" i="11"/>
  <c r="C27"/>
  <c r="D26"/>
  <c r="C26"/>
  <c r="D24"/>
  <c r="C24"/>
  <c r="D17"/>
  <c r="D16"/>
  <c r="M15"/>
  <c r="L15"/>
  <c r="K15"/>
  <c r="J15"/>
  <c r="I15"/>
  <c r="H15"/>
  <c r="D15"/>
  <c r="F16" s="1"/>
  <c r="C15"/>
  <c r="M14"/>
  <c r="L14"/>
  <c r="K14"/>
  <c r="J14"/>
  <c r="I14"/>
  <c r="H14"/>
  <c r="D12"/>
  <c r="D20" s="1"/>
  <c r="D10"/>
  <c r="C10"/>
  <c r="C12" s="1"/>
  <c r="C20" s="1"/>
  <c r="F5"/>
  <c r="F16" i="10"/>
  <c r="D17"/>
  <c r="D16"/>
  <c r="D15"/>
  <c r="D27"/>
  <c r="C27"/>
  <c r="D26"/>
  <c r="C26"/>
  <c r="D24"/>
  <c r="C24"/>
  <c r="C15"/>
  <c r="D12"/>
  <c r="D10"/>
  <c r="C10"/>
  <c r="C12" s="1"/>
  <c r="C20" s="1"/>
  <c r="F5"/>
  <c r="C14" i="9"/>
  <c r="C17" s="1"/>
  <c r="C11"/>
  <c r="D11"/>
  <c r="D20" l="1"/>
  <c r="D28" s="1"/>
  <c r="C37" i="11"/>
  <c r="C25"/>
  <c r="C35" s="1"/>
  <c r="D37"/>
  <c r="D25"/>
  <c r="D35" s="1"/>
  <c r="D20" i="10"/>
  <c r="C25"/>
  <c r="C35" s="1"/>
  <c r="D25"/>
  <c r="D35" s="1"/>
  <c r="C20" i="9"/>
  <c r="C28" s="1"/>
</calcChain>
</file>

<file path=xl/sharedStrings.xml><?xml version="1.0" encoding="utf-8"?>
<sst xmlns="http://schemas.openxmlformats.org/spreadsheetml/2006/main" count="670" uniqueCount="97">
  <si>
    <t>RX NF</t>
  </si>
  <si>
    <t>TX Antenna Gain</t>
  </si>
  <si>
    <t>RX Antenna Gain</t>
  </si>
  <si>
    <t>dBm</t>
  </si>
  <si>
    <t>dB</t>
  </si>
  <si>
    <t>dBi</t>
  </si>
  <si>
    <t>Wavelength</t>
  </si>
  <si>
    <t>EIRP</t>
  </si>
  <si>
    <t>Polarization Loss</t>
  </si>
  <si>
    <t>Noise BW</t>
  </si>
  <si>
    <t>Backoff</t>
  </si>
  <si>
    <t xml:space="preserve"> </t>
  </si>
  <si>
    <t>Link Budget</t>
  </si>
  <si>
    <t>Total Transmit Power</t>
  </si>
  <si>
    <t>LOS</t>
  </si>
  <si>
    <t>Transmitter</t>
  </si>
  <si>
    <t xml:space="preserve">  </t>
  </si>
  <si>
    <t>Distance</t>
  </si>
  <si>
    <t>meter</t>
  </si>
  <si>
    <t>RX Frontend Loss</t>
  </si>
  <si>
    <t>Unit PA P1dB @Antenna</t>
  </si>
  <si>
    <t>Rcvr Signal Power</t>
  </si>
  <si>
    <t>Received C/N</t>
  </si>
  <si>
    <t>Channel</t>
  </si>
  <si>
    <t>RFE</t>
  </si>
  <si>
    <t>Parameters</t>
  </si>
  <si>
    <t>Modulation</t>
  </si>
  <si>
    <t>MCS</t>
  </si>
  <si>
    <t>Spreading</t>
  </si>
  <si>
    <t>Implementation Loss</t>
  </si>
  <si>
    <t>Margin</t>
  </si>
  <si>
    <t>Received Noise atT Frontend</t>
  </si>
  <si>
    <t>Frequency</t>
  </si>
  <si>
    <t>FEC (Inner)</t>
  </si>
  <si>
    <t>FEC (Outer), Rate</t>
  </si>
  <si>
    <t>NA</t>
  </si>
  <si>
    <t>MHz</t>
  </si>
  <si>
    <t>Input Parameters</t>
  </si>
  <si>
    <t>kbps</t>
  </si>
  <si>
    <t>Path Loss, Free Space, dB</t>
  </si>
  <si>
    <t>Antenna Height, Base Station</t>
  </si>
  <si>
    <t>Antenna Height, Mobile Station</t>
  </si>
  <si>
    <t>Meter</t>
  </si>
  <si>
    <t xml:space="preserve">Received Eb/N0 </t>
  </si>
  <si>
    <t>Symbol Rate</t>
  </si>
  <si>
    <t>Propagation Mode</t>
  </si>
  <si>
    <t>kHz</t>
  </si>
  <si>
    <t>Metropolitan</t>
  </si>
  <si>
    <t>Required Rcvr Signal Power</t>
  </si>
  <si>
    <t>Antenna and Frequency Diversity Gain</t>
  </si>
  <si>
    <t>Walfish-Ikegami</t>
  </si>
  <si>
    <t>Street Incident Angle</t>
  </si>
  <si>
    <t>Phi</t>
  </si>
  <si>
    <t>cm</t>
  </si>
  <si>
    <t>Hr</t>
  </si>
  <si>
    <t>Avg. Building Height</t>
  </si>
  <si>
    <t>Street Width</t>
  </si>
  <si>
    <t>W</t>
  </si>
  <si>
    <t>Bdg-to-Bdg</t>
  </si>
  <si>
    <r>
      <t>Diffraction Loss (Rooftop L</t>
    </r>
    <r>
      <rPr>
        <b/>
        <vertAlign val="subscript"/>
        <sz val="10"/>
        <rFont val="Times New Roman"/>
        <family val="1"/>
      </rPr>
      <t>rts</t>
    </r>
    <r>
      <rPr>
        <b/>
        <sz val="10"/>
        <rFont val="Times New Roman"/>
        <family val="1"/>
      </rPr>
      <t>), dB</t>
    </r>
  </si>
  <si>
    <t>Multi-Screen Diffraction Loss, dB</t>
  </si>
  <si>
    <t>Margin based on Received Power</t>
  </si>
  <si>
    <r>
      <t>H</t>
    </r>
    <r>
      <rPr>
        <vertAlign val="subscript"/>
        <sz val="10"/>
        <color rgb="FFFF0000"/>
        <rFont val="Times New Roman"/>
        <family val="1"/>
      </rPr>
      <t>rx</t>
    </r>
  </si>
  <si>
    <r>
      <t>H</t>
    </r>
    <r>
      <rPr>
        <vertAlign val="subscript"/>
        <sz val="10"/>
        <color rgb="FFFF0000"/>
        <rFont val="Times New Roman"/>
        <family val="1"/>
      </rPr>
      <t>tx</t>
    </r>
  </si>
  <si>
    <t>OFDM</t>
  </si>
  <si>
    <r>
      <t>H</t>
    </r>
    <r>
      <rPr>
        <vertAlign val="subscript"/>
        <sz val="10"/>
        <color theme="1"/>
        <rFont val="Times New Roman"/>
        <family val="1"/>
      </rPr>
      <t>tx</t>
    </r>
  </si>
  <si>
    <r>
      <t>H</t>
    </r>
    <r>
      <rPr>
        <vertAlign val="subscript"/>
        <sz val="10"/>
        <color theme="1"/>
        <rFont val="Times New Roman"/>
        <family val="1"/>
      </rPr>
      <t>rx</t>
    </r>
  </si>
  <si>
    <t>Total Path Loss</t>
  </si>
  <si>
    <t>Received Sensitivity</t>
  </si>
  <si>
    <t>Required Eb/No</t>
  </si>
  <si>
    <t>Fading Margin</t>
  </si>
  <si>
    <t>Shadowing Std Dev</t>
  </si>
  <si>
    <t>Antenna height</t>
  </si>
  <si>
    <t>Link Budget for TGah</t>
  </si>
  <si>
    <t>Assumptions:</t>
  </si>
  <si>
    <t>Path Loss formula  - A+Blog10(d) d in meters</t>
  </si>
  <si>
    <t>A and B values below are based on LTE Macro at 900MHz (contribution 272 slide 3)</t>
  </si>
  <si>
    <t>Total path loss assumes one shadowing standard deviation</t>
  </si>
  <si>
    <t>Tx Power [dBm]</t>
  </si>
  <si>
    <t>Maximum power in the US 900MHz band</t>
  </si>
  <si>
    <t>Antenna Gain [dB] Tx &amp; Rx</t>
  </si>
  <si>
    <t>A</t>
  </si>
  <si>
    <t>Antenna height (m)</t>
  </si>
  <si>
    <t>B</t>
  </si>
  <si>
    <t>Frequency (MHz)</t>
  </si>
  <si>
    <t>Shadowing std [dB]</t>
  </si>
  <si>
    <t>N0 [dBm/Hz]</t>
  </si>
  <si>
    <t>Link Loss</t>
  </si>
  <si>
    <t>Noise Figure [dB]</t>
  </si>
  <si>
    <t>Bit rate [Kbps]</t>
  </si>
  <si>
    <t>Eb/No with convolutional coding at BER=1e-5</t>
  </si>
  <si>
    <t>in 802.11 sensitivity is typically measured with respect to PER of 4K bytes packets</t>
  </si>
  <si>
    <t>Implementation Loss [dB]</t>
  </si>
  <si>
    <t>Multipath Fading Loss [dB]</t>
  </si>
  <si>
    <t>Minimum Sensitivity [dBm]</t>
  </si>
  <si>
    <t>Link Budget [dB]</t>
  </si>
  <si>
    <t>Maximum Range [m]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</si>
</sst>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6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vertAlign val="subscript"/>
      <sz val="10"/>
      <name val="Times New Roman"/>
      <family val="1"/>
    </font>
    <font>
      <vertAlign val="subscript"/>
      <sz val="10"/>
      <color rgb="FFFF0000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1" fillId="0" borderId="0" xfId="0" applyNumberFormat="1" applyFont="1" applyFill="1"/>
    <xf numFmtId="0" fontId="1" fillId="0" borderId="7" xfId="0" applyFont="1" applyBorder="1"/>
    <xf numFmtId="0" fontId="1" fillId="0" borderId="0" xfId="0" applyFont="1"/>
    <xf numFmtId="0" fontId="4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164" fontId="1" fillId="0" borderId="0" xfId="0" applyNumberFormat="1" applyFont="1"/>
    <xf numFmtId="0" fontId="1" fillId="0" borderId="12" xfId="0" applyFont="1" applyBorder="1"/>
    <xf numFmtId="0" fontId="1" fillId="0" borderId="0" xfId="0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164" fontId="1" fillId="0" borderId="0" xfId="0" applyNumberFormat="1" applyFont="1" applyFill="1"/>
    <xf numFmtId="0" fontId="1" fillId="0" borderId="0" xfId="0" applyFont="1" applyFill="1"/>
    <xf numFmtId="0" fontId="1" fillId="0" borderId="8" xfId="0" applyFont="1" applyFill="1" applyBorder="1"/>
    <xf numFmtId="165" fontId="1" fillId="0" borderId="0" xfId="0" applyNumberFormat="1" applyFont="1"/>
    <xf numFmtId="2" fontId="1" fillId="0" borderId="9" xfId="0" applyNumberFormat="1" applyFont="1" applyBorder="1"/>
    <xf numFmtId="0" fontId="1" fillId="0" borderId="2" xfId="0" applyFont="1" applyBorder="1"/>
    <xf numFmtId="2" fontId="1" fillId="0" borderId="12" xfId="0" applyNumberFormat="1" applyFont="1" applyBorder="1"/>
    <xf numFmtId="0" fontId="1" fillId="0" borderId="3" xfId="0" applyFont="1" applyBorder="1"/>
    <xf numFmtId="0" fontId="1" fillId="0" borderId="13" xfId="0" applyFont="1" applyBorder="1"/>
    <xf numFmtId="0" fontId="4" fillId="0" borderId="2" xfId="0" applyFont="1" applyBorder="1"/>
    <xf numFmtId="165" fontId="1" fillId="0" borderId="0" xfId="0" applyNumberFormat="1" applyFont="1" applyFill="1"/>
    <xf numFmtId="11" fontId="1" fillId="0" borderId="12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1" fillId="0" borderId="4" xfId="0" applyFont="1" applyBorder="1"/>
    <xf numFmtId="0" fontId="1" fillId="0" borderId="5" xfId="0" applyFont="1" applyBorder="1"/>
    <xf numFmtId="2" fontId="4" fillId="0" borderId="0" xfId="0" applyNumberFormat="1" applyFont="1" applyBorder="1"/>
    <xf numFmtId="164" fontId="0" fillId="0" borderId="9" xfId="0" applyNumberFormat="1" applyBorder="1" applyAlignment="1">
      <alignment horizontal="right"/>
    </xf>
    <xf numFmtId="2" fontId="1" fillId="0" borderId="12" xfId="0" applyNumberFormat="1" applyFont="1" applyFill="1" applyBorder="1"/>
    <xf numFmtId="164" fontId="1" fillId="0" borderId="12" xfId="0" applyNumberFormat="1" applyFont="1" applyFill="1" applyBorder="1"/>
    <xf numFmtId="164" fontId="2" fillId="0" borderId="12" xfId="0" applyNumberFormat="1" applyFont="1" applyBorder="1" applyAlignment="1">
      <alignment horizontal="right"/>
    </xf>
    <xf numFmtId="164" fontId="1" fillId="0" borderId="7" xfId="0" applyNumberFormat="1" applyFont="1" applyBorder="1"/>
    <xf numFmtId="2" fontId="2" fillId="0" borderId="9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1" fillId="0" borderId="12" xfId="0" applyNumberFormat="1" applyFont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2" fontId="1" fillId="0" borderId="12" xfId="0" applyNumberFormat="1" applyFont="1" applyFill="1" applyBorder="1" applyAlignment="1">
      <alignment horizontal="right"/>
    </xf>
    <xf numFmtId="2" fontId="1" fillId="0" borderId="7" xfId="0" applyNumberFormat="1" applyFont="1" applyFill="1" applyBorder="1"/>
    <xf numFmtId="0" fontId="1" fillId="0" borderId="9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3" fillId="0" borderId="0" xfId="0" applyFont="1" applyBorder="1" applyAlignment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Border="1"/>
    <xf numFmtId="0" fontId="8" fillId="0" borderId="11" xfId="0" applyFont="1" applyBorder="1"/>
    <xf numFmtId="0" fontId="8" fillId="0" borderId="2" xfId="0" applyFont="1" applyBorder="1"/>
    <xf numFmtId="0" fontId="8" fillId="0" borderId="3" xfId="0" applyFont="1" applyBorder="1"/>
    <xf numFmtId="0" fontId="4" fillId="0" borderId="8" xfId="0" applyFont="1" applyFill="1" applyBorder="1"/>
    <xf numFmtId="0" fontId="9" fillId="0" borderId="1" xfId="0" applyFont="1" applyFill="1" applyBorder="1" applyAlignment="1"/>
    <xf numFmtId="0" fontId="4" fillId="0" borderId="2" xfId="0" applyFont="1" applyFill="1" applyBorder="1" applyAlignment="1"/>
    <xf numFmtId="0" fontId="9" fillId="2" borderId="2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8" fillId="0" borderId="22" xfId="0" applyFont="1" applyBorder="1"/>
    <xf numFmtId="0" fontId="1" fillId="0" borderId="20" xfId="0" applyFont="1" applyBorder="1"/>
    <xf numFmtId="0" fontId="4" fillId="0" borderId="17" xfId="0" applyFont="1" applyBorder="1" applyAlignment="1"/>
    <xf numFmtId="0" fontId="0" fillId="0" borderId="23" xfId="0" applyBorder="1" applyAlignment="1"/>
    <xf numFmtId="0" fontId="1" fillId="0" borderId="17" xfId="0" applyFont="1" applyBorder="1"/>
    <xf numFmtId="0" fontId="4" fillId="0" borderId="18" xfId="0" applyFont="1" applyBorder="1" applyAlignment="1"/>
    <xf numFmtId="1" fontId="1" fillId="0" borderId="0" xfId="0" applyNumberFormat="1" applyFont="1" applyBorder="1"/>
    <xf numFmtId="2" fontId="1" fillId="0" borderId="12" xfId="0" applyNumberFormat="1" applyFont="1" applyBorder="1" applyAlignment="1">
      <alignment horizontal="right" indent="1"/>
    </xf>
    <xf numFmtId="2" fontId="2" fillId="0" borderId="1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164" fontId="0" fillId="0" borderId="0" xfId="0" applyNumberFormat="1" applyBorder="1" applyAlignment="1">
      <alignment horizontal="center"/>
    </xf>
    <xf numFmtId="0" fontId="12" fillId="0" borderId="0" xfId="0" applyFont="1" applyBorder="1"/>
    <xf numFmtId="0" fontId="12" fillId="0" borderId="1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0" xfId="0" applyFont="1"/>
    <xf numFmtId="0" fontId="14" fillId="0" borderId="1" xfId="0" applyFont="1" applyFill="1" applyBorder="1" applyAlignment="1"/>
    <xf numFmtId="164" fontId="7" fillId="0" borderId="12" xfId="0" applyNumberFormat="1" applyFont="1" applyBorder="1" applyAlignment="1">
      <alignment horizontal="right"/>
    </xf>
    <xf numFmtId="164" fontId="1" fillId="0" borderId="12" xfId="0" applyNumberFormat="1" applyFont="1" applyBorder="1"/>
    <xf numFmtId="0" fontId="1" fillId="0" borderId="24" xfId="0" applyFont="1" applyBorder="1"/>
    <xf numFmtId="1" fontId="4" fillId="0" borderId="0" xfId="0" applyNumberFormat="1" applyFont="1" applyBorder="1"/>
    <xf numFmtId="0" fontId="4" fillId="0" borderId="7" xfId="0" applyFont="1" applyBorder="1"/>
    <xf numFmtId="0" fontId="14" fillId="2" borderId="2" xfId="0" applyFont="1" applyFill="1" applyBorder="1"/>
    <xf numFmtId="164" fontId="0" fillId="0" borderId="0" xfId="0" applyNumberFormat="1"/>
    <xf numFmtId="0" fontId="15" fillId="0" borderId="0" xfId="0" applyFont="1"/>
    <xf numFmtId="1" fontId="0" fillId="0" borderId="0" xfId="0" applyNumberFormat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4235</xdr:colOff>
      <xdr:row>5</xdr:row>
      <xdr:rowOff>115994</xdr:rowOff>
    </xdr:from>
    <xdr:to>
      <xdr:col>14</xdr:col>
      <xdr:colOff>480908</xdr:colOff>
      <xdr:row>20</xdr:row>
      <xdr:rowOff>85513</xdr:rowOff>
    </xdr:to>
    <xdr:pic>
      <xdr:nvPicPr>
        <xdr:cNvPr id="5121" name="Picture 1" descr="http://www.cse.hcmut.edu.vn/~ltquan/Documents_Softwares/CDMA/Walfisch-Ikegami_files/vertical_c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2395" y="1050714"/>
          <a:ext cx="5800513" cy="26923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648546</xdr:colOff>
      <xdr:row>21</xdr:row>
      <xdr:rowOff>152400</xdr:rowOff>
    </xdr:from>
    <xdr:to>
      <xdr:col>14</xdr:col>
      <xdr:colOff>313266</xdr:colOff>
      <xdr:row>33</xdr:row>
      <xdr:rowOff>101600</xdr:rowOff>
    </xdr:to>
    <xdr:pic>
      <xdr:nvPicPr>
        <xdr:cNvPr id="5122" name="Picture 2" descr="Geometrical parameter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5666" y="3982720"/>
          <a:ext cx="5689600" cy="20218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487680</xdr:colOff>
      <xdr:row>23</xdr:row>
      <xdr:rowOff>30480</xdr:rowOff>
    </xdr:from>
    <xdr:to>
      <xdr:col>10</xdr:col>
      <xdr:colOff>2540</xdr:colOff>
      <xdr:row>34</xdr:row>
      <xdr:rowOff>82550</xdr:rowOff>
    </xdr:to>
    <xdr:pic>
      <xdr:nvPicPr>
        <xdr:cNvPr id="3" name="Picture 2" descr="Geometrical paramet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2780" y="4094480"/>
          <a:ext cx="5802630" cy="19507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487680</xdr:colOff>
      <xdr:row>23</xdr:row>
      <xdr:rowOff>30480</xdr:rowOff>
    </xdr:from>
    <xdr:to>
      <xdr:col>8</xdr:col>
      <xdr:colOff>276860</xdr:colOff>
      <xdr:row>34</xdr:row>
      <xdr:rowOff>12700</xdr:rowOff>
    </xdr:to>
    <xdr:pic>
      <xdr:nvPicPr>
        <xdr:cNvPr id="2" name="Picture 1" descr="Geometrical paramet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2780" y="4094480"/>
          <a:ext cx="4145280" cy="18808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0"/>
  <sheetViews>
    <sheetView tabSelected="1" zoomScale="75" zoomScaleNormal="75" workbookViewId="0">
      <pane xSplit="2" topLeftCell="C1" activePane="topRight" state="frozen"/>
      <selection activeCell="A31" sqref="A31"/>
      <selection pane="topRight" activeCell="F37" sqref="F37"/>
    </sheetView>
  </sheetViews>
  <sheetFormatPr defaultRowHeight="13.2"/>
  <cols>
    <col min="1" max="1" width="13.33203125" customWidth="1"/>
    <col min="2" max="2" width="36.5546875" customWidth="1"/>
    <col min="3" max="3" width="14.109375" customWidth="1"/>
    <col min="4" max="4" width="14" customWidth="1"/>
    <col min="5" max="5" width="11.88671875" customWidth="1"/>
    <col min="6" max="6" width="10.21875" customWidth="1"/>
    <col min="7" max="7" width="13.21875" customWidth="1"/>
    <col min="9" max="9" width="4.88671875" customWidth="1"/>
    <col min="10" max="10" width="15.21875" customWidth="1"/>
    <col min="11" max="11" width="7.77734375" customWidth="1"/>
    <col min="12" max="12" width="8.21875" customWidth="1"/>
    <col min="13" max="15" width="9.6640625" customWidth="1"/>
    <col min="16" max="16" width="2" customWidth="1"/>
    <col min="17" max="18" width="9.6640625" customWidth="1"/>
    <col min="19" max="19" width="15" customWidth="1"/>
    <col min="20" max="22" width="13.33203125" customWidth="1"/>
    <col min="23" max="23" width="10.44140625" customWidth="1"/>
    <col min="24" max="24" width="11.5546875" customWidth="1"/>
    <col min="25" max="25" width="14.6640625" customWidth="1"/>
    <col min="26" max="26" width="10.6640625" customWidth="1"/>
    <col min="27" max="27" width="9.6640625" customWidth="1"/>
    <col min="28" max="28" width="14.6640625" customWidth="1"/>
    <col min="29" max="29" width="18.44140625" customWidth="1"/>
    <col min="32" max="32" width="19.44140625" customWidth="1"/>
  </cols>
  <sheetData>
    <row r="1" spans="1:39" ht="13.8" thickBot="1">
      <c r="A1" s="2" t="s">
        <v>11</v>
      </c>
      <c r="B1" s="7" t="s">
        <v>12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11</v>
      </c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4.4" thickTop="1" thickBot="1">
      <c r="B2" s="34" t="s">
        <v>37</v>
      </c>
      <c r="C2" s="8"/>
      <c r="D2" s="8"/>
      <c r="E2" s="24"/>
      <c r="F2" s="8"/>
      <c r="G2" s="8"/>
      <c r="H2" s="76"/>
      <c r="I2" s="76"/>
      <c r="J2" s="77" t="s">
        <v>11</v>
      </c>
      <c r="K2" s="76" t="s">
        <v>11</v>
      </c>
      <c r="L2" s="76"/>
      <c r="M2" s="76"/>
      <c r="N2" s="78"/>
      <c r="O2" s="6"/>
      <c r="P2" s="6"/>
      <c r="Q2" s="6"/>
      <c r="R2" s="6"/>
      <c r="S2" s="6"/>
      <c r="T2" s="6"/>
      <c r="U2" s="6"/>
      <c r="V2" s="6"/>
      <c r="W2" s="6"/>
      <c r="X2" s="6"/>
      <c r="Y2" s="7" t="s">
        <v>11</v>
      </c>
      <c r="Z2" s="6"/>
      <c r="AA2" s="6"/>
      <c r="AB2" s="6"/>
      <c r="AC2" s="6"/>
      <c r="AD2" s="6"/>
      <c r="AE2" s="31"/>
      <c r="AF2" s="13"/>
      <c r="AG2" s="13"/>
      <c r="AH2" s="6"/>
      <c r="AI2" s="6"/>
      <c r="AJ2" s="6"/>
      <c r="AK2" s="6"/>
      <c r="AL2" s="6"/>
      <c r="AM2" s="6"/>
    </row>
    <row r="3" spans="1:39" ht="13.8" thickTop="1">
      <c r="A3" s="3" t="s">
        <v>25</v>
      </c>
      <c r="B3" s="34" t="s">
        <v>11</v>
      </c>
      <c r="C3" s="8" t="s">
        <v>11</v>
      </c>
      <c r="D3" s="9" t="s">
        <v>11</v>
      </c>
      <c r="E3" s="95" t="s">
        <v>32</v>
      </c>
      <c r="F3" s="8">
        <v>915</v>
      </c>
      <c r="G3" s="36" t="s">
        <v>36</v>
      </c>
      <c r="H3" s="79" t="s">
        <v>11</v>
      </c>
      <c r="I3" s="80"/>
      <c r="J3" s="90" t="s">
        <v>56</v>
      </c>
      <c r="K3" s="32" t="s">
        <v>57</v>
      </c>
      <c r="L3" s="13">
        <v>20</v>
      </c>
      <c r="M3" s="81"/>
      <c r="N3" s="82" t="s">
        <v>11</v>
      </c>
      <c r="O3" s="63"/>
      <c r="P3" s="7" t="s">
        <v>11</v>
      </c>
      <c r="Q3" s="38" t="s">
        <v>11</v>
      </c>
      <c r="R3" s="31" t="s">
        <v>11</v>
      </c>
      <c r="S3" s="6" t="s">
        <v>11</v>
      </c>
      <c r="T3" s="6"/>
      <c r="U3" s="6"/>
      <c r="V3" s="6"/>
      <c r="W3" s="6"/>
      <c r="X3" s="6"/>
      <c r="Y3" s="13"/>
      <c r="Z3" s="13"/>
      <c r="AA3" s="13"/>
      <c r="AB3" s="13"/>
      <c r="AC3" s="6"/>
      <c r="AD3" s="6"/>
      <c r="AE3" s="31"/>
      <c r="AF3" s="13"/>
      <c r="AG3" s="13"/>
      <c r="AH3" s="13"/>
      <c r="AI3" s="6"/>
      <c r="AJ3" s="6"/>
      <c r="AK3" s="6"/>
      <c r="AL3" s="6"/>
      <c r="AM3" s="6"/>
    </row>
    <row r="4" spans="1:39" ht="15.6">
      <c r="B4" s="35" t="s">
        <v>11</v>
      </c>
      <c r="C4" s="13" t="s">
        <v>11</v>
      </c>
      <c r="D4" s="12" t="s">
        <v>11</v>
      </c>
      <c r="E4" s="73"/>
      <c r="F4" s="15"/>
      <c r="G4" s="37" t="s">
        <v>72</v>
      </c>
      <c r="H4" s="92" t="s">
        <v>65</v>
      </c>
      <c r="I4" s="12">
        <v>27</v>
      </c>
      <c r="J4" s="90" t="s">
        <v>55</v>
      </c>
      <c r="K4" s="32" t="s">
        <v>54</v>
      </c>
      <c r="L4" s="13">
        <v>12</v>
      </c>
      <c r="M4" s="92" t="s">
        <v>58</v>
      </c>
      <c r="N4" s="64">
        <v>56</v>
      </c>
      <c r="O4" s="6"/>
      <c r="P4" s="6"/>
      <c r="Q4" s="6"/>
      <c r="R4" s="6"/>
      <c r="S4" s="6"/>
      <c r="T4" s="6"/>
      <c r="U4" s="6"/>
      <c r="V4" s="6"/>
      <c r="W4" s="6"/>
      <c r="X4" s="6"/>
      <c r="AC4" s="6"/>
      <c r="AD4" s="6"/>
      <c r="AE4" s="13"/>
      <c r="AF4" s="13"/>
      <c r="AG4" s="13"/>
      <c r="AH4" s="13"/>
      <c r="AI4" s="6"/>
      <c r="AJ4" s="6"/>
      <c r="AK4" s="6"/>
      <c r="AL4" s="6"/>
      <c r="AM4" s="6"/>
    </row>
    <row r="5" spans="1:39" ht="16.2" thickBot="1">
      <c r="A5" s="2" t="s">
        <v>11</v>
      </c>
      <c r="B5" s="101" t="s">
        <v>17</v>
      </c>
      <c r="C5" s="99">
        <v>1560</v>
      </c>
      <c r="D5" s="100" t="s">
        <v>18</v>
      </c>
      <c r="E5" s="21" t="s">
        <v>11</v>
      </c>
      <c r="F5" s="14" t="s">
        <v>11</v>
      </c>
      <c r="G5" s="37" t="s">
        <v>11</v>
      </c>
      <c r="H5" s="93" t="s">
        <v>66</v>
      </c>
      <c r="I5" s="5">
        <v>1.5</v>
      </c>
      <c r="J5" s="91" t="s">
        <v>51</v>
      </c>
      <c r="K5" s="62" t="s">
        <v>52</v>
      </c>
      <c r="L5" s="10">
        <v>50</v>
      </c>
      <c r="M5" s="23"/>
      <c r="N5" s="75" t="s">
        <v>11</v>
      </c>
      <c r="O5" s="6"/>
      <c r="P5" s="6"/>
      <c r="Q5" s="6"/>
      <c r="R5" s="6"/>
      <c r="S5" s="6"/>
      <c r="T5" s="6"/>
      <c r="U5" s="6"/>
      <c r="V5" s="6" t="s">
        <v>11</v>
      </c>
      <c r="W5" s="6"/>
      <c r="X5" s="6"/>
      <c r="AC5" s="6"/>
      <c r="AD5" s="6"/>
      <c r="AE5" s="13"/>
      <c r="AF5" s="13"/>
      <c r="AG5" s="13"/>
      <c r="AH5" s="13"/>
      <c r="AI5" s="6"/>
      <c r="AJ5" s="6"/>
      <c r="AK5" s="6"/>
      <c r="AL5" s="6"/>
      <c r="AM5" s="6"/>
    </row>
    <row r="6" spans="1:39">
      <c r="A6" s="2" t="s">
        <v>11</v>
      </c>
      <c r="B6" s="71" t="s">
        <v>11</v>
      </c>
      <c r="C6" s="18" t="s">
        <v>11</v>
      </c>
      <c r="D6" s="18" t="s">
        <v>11</v>
      </c>
      <c r="E6" s="18" t="s">
        <v>11</v>
      </c>
      <c r="F6" s="18" t="s">
        <v>11</v>
      </c>
      <c r="G6" s="18" t="s">
        <v>11</v>
      </c>
      <c r="H6" s="94"/>
      <c r="I6" s="6"/>
      <c r="J6" s="6"/>
      <c r="K6" s="6"/>
      <c r="L6" s="6"/>
      <c r="M6" s="6"/>
      <c r="N6" s="6" t="s">
        <v>11</v>
      </c>
      <c r="O6" s="6"/>
      <c r="P6" s="6"/>
      <c r="Q6" s="6"/>
      <c r="R6" s="6"/>
      <c r="S6" s="6"/>
      <c r="T6" s="6" t="s">
        <v>11</v>
      </c>
      <c r="U6" s="6"/>
      <c r="V6" s="6"/>
      <c r="W6" s="6"/>
      <c r="X6" s="6"/>
      <c r="AC6" s="6"/>
      <c r="AD6" s="6"/>
      <c r="AE6" s="13"/>
      <c r="AF6" s="13"/>
      <c r="AG6" s="13"/>
      <c r="AH6" s="13"/>
      <c r="AI6" s="6"/>
      <c r="AJ6" s="6"/>
      <c r="AK6" s="6"/>
      <c r="AL6" s="6"/>
      <c r="AM6" s="6"/>
    </row>
    <row r="7" spans="1:39" ht="13.8" thickBot="1">
      <c r="B7" s="31" t="s">
        <v>11</v>
      </c>
      <c r="C7" s="33"/>
      <c r="D7" s="13"/>
      <c r="E7" s="6"/>
      <c r="F7" s="6" t="s">
        <v>11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AC7" s="6"/>
      <c r="AD7" s="6"/>
      <c r="AE7" s="13"/>
      <c r="AF7" s="13"/>
      <c r="AG7" s="13"/>
      <c r="AH7" s="13"/>
      <c r="AI7" s="6"/>
      <c r="AJ7" s="6"/>
      <c r="AK7" s="6"/>
      <c r="AL7" s="6"/>
      <c r="AM7" s="6"/>
    </row>
    <row r="8" spans="1:39">
      <c r="A8" s="3" t="s">
        <v>15</v>
      </c>
      <c r="B8" s="28" t="s">
        <v>20</v>
      </c>
      <c r="C8" s="39">
        <v>30</v>
      </c>
      <c r="D8" s="39">
        <v>30</v>
      </c>
      <c r="E8" s="9" t="s">
        <v>3</v>
      </c>
      <c r="F8" s="6"/>
      <c r="G8" s="6"/>
      <c r="H8" s="6"/>
      <c r="I8" s="6"/>
      <c r="J8" s="6"/>
      <c r="K8" s="6"/>
      <c r="L8" s="6"/>
      <c r="M8" s="6"/>
    </row>
    <row r="9" spans="1:39">
      <c r="A9" s="2" t="s">
        <v>11</v>
      </c>
      <c r="B9" s="29" t="s">
        <v>13</v>
      </c>
      <c r="C9" s="41">
        <v>30</v>
      </c>
      <c r="D9" s="41">
        <v>30</v>
      </c>
      <c r="E9" s="12" t="s">
        <v>3</v>
      </c>
      <c r="F9" s="6"/>
      <c r="G9" s="6"/>
      <c r="H9" s="6"/>
      <c r="I9" s="6"/>
      <c r="J9" s="6"/>
      <c r="K9" s="6"/>
      <c r="L9" s="6"/>
      <c r="M9" s="6"/>
    </row>
    <row r="10" spans="1:39">
      <c r="A10" t="s">
        <v>16</v>
      </c>
      <c r="B10" s="29" t="s">
        <v>1</v>
      </c>
      <c r="C10" s="42">
        <v>1.5</v>
      </c>
      <c r="D10" s="42">
        <v>1.5</v>
      </c>
      <c r="E10" s="12" t="s">
        <v>5</v>
      </c>
      <c r="F10" s="6"/>
      <c r="G10" s="6"/>
      <c r="H10" s="6"/>
      <c r="I10" s="6"/>
      <c r="J10" s="6"/>
      <c r="K10" s="6"/>
      <c r="L10" s="6"/>
      <c r="M10" s="6"/>
    </row>
    <row r="11" spans="1:39" ht="13.8" thickBot="1">
      <c r="A11" t="s">
        <v>11</v>
      </c>
      <c r="B11" s="30" t="s">
        <v>7</v>
      </c>
      <c r="C11" s="43">
        <f t="shared" ref="C11:D11" si="0">C9+C10</f>
        <v>31.5</v>
      </c>
      <c r="D11" s="43">
        <f t="shared" si="0"/>
        <v>31.5</v>
      </c>
      <c r="E11" s="5" t="s">
        <v>3</v>
      </c>
      <c r="F11" s="6"/>
      <c r="G11" s="6"/>
      <c r="H11" s="6"/>
      <c r="I11" s="6"/>
      <c r="J11" s="6"/>
      <c r="K11" s="6"/>
      <c r="L11" s="6"/>
      <c r="M11" s="6"/>
    </row>
    <row r="12" spans="1:39" ht="18.600000000000001" customHeight="1">
      <c r="A12" s="2" t="s">
        <v>11</v>
      </c>
      <c r="B12" s="25" t="s">
        <v>45</v>
      </c>
      <c r="C12" s="59" t="s">
        <v>50</v>
      </c>
      <c r="D12" s="58" t="s">
        <v>50</v>
      </c>
      <c r="E12" s="65"/>
      <c r="F12" s="6" t="s">
        <v>11</v>
      </c>
      <c r="G12" s="6"/>
      <c r="H12" s="6"/>
      <c r="I12" s="6"/>
      <c r="J12" s="6"/>
      <c r="K12" s="6"/>
      <c r="L12" s="6"/>
      <c r="M12" s="6"/>
      <c r="N12" s="6"/>
    </row>
    <row r="13" spans="1:39" ht="18.600000000000001" customHeight="1" thickBot="1">
      <c r="B13" s="25"/>
      <c r="C13" s="60" t="s">
        <v>14</v>
      </c>
      <c r="D13" s="61" t="s">
        <v>47</v>
      </c>
      <c r="E13" s="66"/>
      <c r="F13" s="6"/>
      <c r="G13" s="6"/>
      <c r="H13" s="6"/>
      <c r="I13" s="6"/>
      <c r="J13" s="6"/>
      <c r="K13" s="6"/>
      <c r="L13" s="6"/>
      <c r="M13" s="6"/>
      <c r="N13" s="6"/>
    </row>
    <row r="14" spans="1:39">
      <c r="A14" s="3" t="s">
        <v>23</v>
      </c>
      <c r="B14" s="28" t="s">
        <v>39</v>
      </c>
      <c r="C14" s="44">
        <f>42.6+26*LOG($C$5/1000)+20*LOG($F$3)</f>
        <v>106.84966143854497</v>
      </c>
      <c r="D14" s="44">
        <f>32.4+20*LOG10($C$5/1000)+20*LOG10($F$3)</f>
        <v>95.490913848418202</v>
      </c>
      <c r="E14" s="9" t="s">
        <v>4</v>
      </c>
      <c r="F14" s="6"/>
      <c r="G14" s="86"/>
      <c r="H14" s="86"/>
      <c r="J14" s="6"/>
      <c r="K14" s="6"/>
      <c r="L14" s="6"/>
      <c r="M14" s="6"/>
      <c r="N14" s="88"/>
    </row>
    <row r="15" spans="1:39" ht="14.4">
      <c r="A15" s="3"/>
      <c r="B15" s="29" t="s">
        <v>59</v>
      </c>
      <c r="C15" s="45">
        <v>0</v>
      </c>
      <c r="D15" s="45">
        <f>-16.9-10*LOG10($L$3)+10*LOG10($F$3)+20*LOG10($L$4-$I$5)+IF($L$5&lt;55,IF($L$5&lt;35,-10+0.354*$L$5,2.5+0.075*($L$5-35)),4-0.114*($L$5-35))</f>
        <v>23.752696965423436</v>
      </c>
      <c r="E15" s="12" t="s">
        <v>4</v>
      </c>
      <c r="F15" s="6"/>
      <c r="G15" s="89"/>
      <c r="H15" s="13"/>
      <c r="I15" s="6"/>
      <c r="J15" s="6"/>
      <c r="K15" s="6"/>
      <c r="L15" s="6"/>
      <c r="M15" s="6"/>
      <c r="N15" s="88"/>
    </row>
    <row r="16" spans="1:39" ht="13.8" thickBot="1">
      <c r="B16" s="30" t="s">
        <v>60</v>
      </c>
      <c r="C16" s="46">
        <v>0</v>
      </c>
      <c r="D16" s="46">
        <f>IF($I$4&lt;$L$4,0,-18*LOG10(1+$I$4-$L$4))+IF($I$4&gt;$L$4,54,IF($C$5&gt;500,54-0.8*($I$4-$L$4),54-0.8*($I$4-$L$4)*$C$5/500))+IF($I$4&gt;$L$4,18,18-15*($I$4-$L$4)/($L$4-$I$5))*LOG10($C$5/1000)+(0.001-4+0.7*($F$3/925-1))*LOG($F$3)-9*LOG($N$4)</f>
        <v>8.2032571301207593</v>
      </c>
      <c r="E16" s="5" t="s">
        <v>4</v>
      </c>
      <c r="F16" s="1"/>
      <c r="G16" s="89"/>
      <c r="H16" s="13"/>
      <c r="I16" s="6"/>
      <c r="J16" s="6"/>
      <c r="K16" s="6"/>
      <c r="L16" s="6"/>
      <c r="M16" s="6"/>
      <c r="N16" s="88"/>
    </row>
    <row r="17" spans="1:28" ht="13.8" thickBot="1">
      <c r="B17" s="29" t="s">
        <v>67</v>
      </c>
      <c r="C17" s="45">
        <f>SUM(C14:C16)</f>
        <v>106.84966143854497</v>
      </c>
      <c r="D17" s="45">
        <f>SUM(D14:D16)</f>
        <v>127.4468679439624</v>
      </c>
      <c r="E17" s="12"/>
      <c r="F17" s="1"/>
      <c r="G17" s="89"/>
      <c r="H17" s="13"/>
      <c r="I17" s="6"/>
      <c r="J17" s="6"/>
      <c r="K17" s="6"/>
      <c r="L17" s="6"/>
      <c r="M17" s="6"/>
      <c r="N17" s="88"/>
    </row>
    <row r="18" spans="1:28">
      <c r="A18" s="3" t="s">
        <v>24</v>
      </c>
      <c r="B18" s="28" t="s">
        <v>2</v>
      </c>
      <c r="C18" s="39">
        <v>1.5</v>
      </c>
      <c r="D18" s="39">
        <v>1.5</v>
      </c>
      <c r="E18" s="9" t="s">
        <v>5</v>
      </c>
      <c r="F18" s="6" t="s">
        <v>11</v>
      </c>
      <c r="G18" s="13"/>
      <c r="H18" s="13"/>
      <c r="I18" s="6"/>
      <c r="J18" s="6"/>
      <c r="K18" s="6"/>
      <c r="L18" s="6"/>
      <c r="M18" s="6"/>
    </row>
    <row r="19" spans="1:28">
      <c r="B19" s="29" t="s">
        <v>8</v>
      </c>
      <c r="C19" s="42">
        <v>0</v>
      </c>
      <c r="D19" s="42">
        <v>0</v>
      </c>
      <c r="E19" s="12" t="s">
        <v>4</v>
      </c>
      <c r="F19" s="6" t="s">
        <v>11</v>
      </c>
      <c r="G19" s="89"/>
      <c r="H19" s="13"/>
      <c r="I19" s="6"/>
      <c r="J19" s="6"/>
      <c r="K19" s="6"/>
      <c r="L19" s="6"/>
      <c r="M19" s="6"/>
    </row>
    <row r="20" spans="1:28">
      <c r="A20" s="2" t="s">
        <v>11</v>
      </c>
      <c r="B20" s="29" t="s">
        <v>21</v>
      </c>
      <c r="C20" s="47">
        <f t="shared" ref="C20:D20" si="1">C11-C14-C15-C16+C18-C19</f>
        <v>-73.84966143854497</v>
      </c>
      <c r="D20" s="47">
        <f t="shared" si="1"/>
        <v>-94.446867943962403</v>
      </c>
      <c r="E20" s="12" t="s">
        <v>3</v>
      </c>
      <c r="F20" s="6" t="s">
        <v>11</v>
      </c>
      <c r="G20" s="89"/>
      <c r="H20" s="13"/>
      <c r="I20" s="6"/>
      <c r="J20" s="6"/>
      <c r="K20" s="6"/>
      <c r="L20" s="6"/>
      <c r="M20" s="6"/>
    </row>
    <row r="21" spans="1:28">
      <c r="B21" s="29" t="s">
        <v>44</v>
      </c>
      <c r="C21" s="48">
        <v>200</v>
      </c>
      <c r="D21" s="48">
        <v>200</v>
      </c>
      <c r="E21" s="12" t="s">
        <v>46</v>
      </c>
      <c r="F21" s="6"/>
      <c r="G21" s="6"/>
      <c r="H21" s="6"/>
      <c r="I21" s="6"/>
      <c r="J21" s="6"/>
      <c r="K21" s="6"/>
      <c r="L21" s="6"/>
      <c r="M21" s="6"/>
      <c r="N21" s="6"/>
    </row>
    <row r="22" spans="1:28">
      <c r="B22" s="29" t="s">
        <v>0</v>
      </c>
      <c r="C22" s="49">
        <v>7</v>
      </c>
      <c r="D22" s="49">
        <v>7</v>
      </c>
      <c r="E22" s="12" t="s">
        <v>4</v>
      </c>
      <c r="F22" s="6" t="s">
        <v>11</v>
      </c>
      <c r="G22" s="6" t="s">
        <v>11</v>
      </c>
      <c r="H22" s="6"/>
      <c r="I22" s="6"/>
      <c r="J22" s="6"/>
      <c r="K22" s="6"/>
      <c r="L22" s="6"/>
      <c r="M22" s="6"/>
    </row>
    <row r="23" spans="1:28">
      <c r="B23" s="29" t="s">
        <v>69</v>
      </c>
      <c r="C23" s="54">
        <v>4.5</v>
      </c>
      <c r="D23" s="54">
        <v>4.5</v>
      </c>
      <c r="E23" s="27" t="s">
        <v>38</v>
      </c>
      <c r="F23" s="6"/>
      <c r="G23" s="6"/>
      <c r="H23" s="6"/>
      <c r="I23" s="6"/>
      <c r="J23" s="6"/>
      <c r="K23" s="6"/>
      <c r="L23" s="6"/>
      <c r="M23" s="6"/>
    </row>
    <row r="24" spans="1:28">
      <c r="B24" s="29" t="s">
        <v>70</v>
      </c>
      <c r="C24" s="96">
        <v>3</v>
      </c>
      <c r="D24" s="96">
        <v>3</v>
      </c>
      <c r="E24" s="98" t="s">
        <v>4</v>
      </c>
      <c r="F24" s="6"/>
      <c r="G24" s="6"/>
      <c r="H24" s="6"/>
      <c r="I24" s="6"/>
      <c r="J24" s="6"/>
      <c r="K24" s="6"/>
      <c r="L24" s="6"/>
    </row>
    <row r="25" spans="1:28">
      <c r="A25" s="3" t="s">
        <v>30</v>
      </c>
      <c r="B25" s="29" t="s">
        <v>29</v>
      </c>
      <c r="C25" s="97">
        <v>3</v>
      </c>
      <c r="D25" s="97">
        <v>3</v>
      </c>
      <c r="E25" s="12" t="s">
        <v>4</v>
      </c>
      <c r="F25" s="6"/>
      <c r="G25" s="6"/>
      <c r="H25" s="6"/>
      <c r="I25" s="6"/>
      <c r="J25" s="6"/>
      <c r="K25" s="6"/>
      <c r="L25" s="6"/>
    </row>
    <row r="26" spans="1:28">
      <c r="A26" t="s">
        <v>11</v>
      </c>
      <c r="B26" s="29" t="s">
        <v>68</v>
      </c>
      <c r="C26" s="97">
        <f>-174+C22+10*LOG10(C21*1000)+C23+C25+C24</f>
        <v>-103.48970004336019</v>
      </c>
      <c r="D26" s="97">
        <f>-174+D22+10*LOG10(D21*1000)+D23+D25+D24</f>
        <v>-103.48970004336019</v>
      </c>
      <c r="E26" s="12" t="s">
        <v>4</v>
      </c>
      <c r="F26" s="6" t="s">
        <v>11</v>
      </c>
      <c r="G26" s="6"/>
      <c r="H26" s="6"/>
      <c r="I26" s="6"/>
      <c r="J26" s="6"/>
      <c r="K26" s="6"/>
      <c r="L26" s="6"/>
    </row>
    <row r="27" spans="1:28">
      <c r="B27" s="29" t="s">
        <v>71</v>
      </c>
      <c r="C27" s="47">
        <v>8</v>
      </c>
      <c r="D27" s="47">
        <v>8</v>
      </c>
      <c r="E27" s="12" t="s">
        <v>4</v>
      </c>
      <c r="F27" s="6"/>
      <c r="G27" s="6"/>
      <c r="H27" s="6"/>
      <c r="I27" s="6"/>
      <c r="J27" s="6"/>
      <c r="K27" s="6"/>
      <c r="L27" s="6"/>
    </row>
    <row r="28" spans="1:28" ht="13.8" thickBot="1">
      <c r="A28" s="2" t="s">
        <v>11</v>
      </c>
      <c r="B28" s="30" t="s">
        <v>61</v>
      </c>
      <c r="C28" s="43">
        <f>C20-C26-C27</f>
        <v>21.640038604815217</v>
      </c>
      <c r="D28" s="43">
        <f>D20-D26-D27</f>
        <v>1.0428320993977849</v>
      </c>
      <c r="E28" s="5" t="s">
        <v>4</v>
      </c>
      <c r="F28" s="6"/>
      <c r="G28" s="6"/>
      <c r="H28" s="6"/>
      <c r="I28" s="6"/>
      <c r="J28" s="6"/>
      <c r="K28" s="6"/>
      <c r="L28" s="6"/>
      <c r="N28" s="6"/>
    </row>
    <row r="29" spans="1:28">
      <c r="A29" t="s">
        <v>11</v>
      </c>
      <c r="B29" s="6"/>
      <c r="C29" s="1" t="s">
        <v>11</v>
      </c>
      <c r="D29" s="6"/>
      <c r="E29" s="6"/>
      <c r="F29" s="6" t="s">
        <v>11</v>
      </c>
      <c r="G29" s="6"/>
      <c r="H29" s="6"/>
      <c r="I29" s="6"/>
      <c r="J29" s="6"/>
      <c r="K29" s="6"/>
      <c r="L29" s="6"/>
      <c r="N29" s="6"/>
      <c r="O29" s="6"/>
      <c r="P29" s="6"/>
      <c r="Q29" s="6"/>
      <c r="R29" s="6"/>
      <c r="S29" s="6"/>
    </row>
    <row r="30" spans="1:28">
      <c r="B30" s="6"/>
      <c r="C30" s="6" t="s">
        <v>11</v>
      </c>
      <c r="D30" s="6" t="s">
        <v>11</v>
      </c>
      <c r="E30" s="6"/>
      <c r="F30" s="6"/>
      <c r="G30" s="6"/>
      <c r="H30" s="6"/>
      <c r="J30" s="6"/>
      <c r="K30" s="6"/>
    </row>
    <row r="31" spans="1:28">
      <c r="B31" s="6"/>
      <c r="C31" s="4"/>
      <c r="D31" s="6" t="s">
        <v>11</v>
      </c>
      <c r="E31" s="6" t="s">
        <v>11</v>
      </c>
      <c r="F31" s="6"/>
      <c r="G31" s="6"/>
      <c r="H31" s="6"/>
      <c r="J31" s="6"/>
      <c r="K31" s="6"/>
      <c r="Y31" s="6" t="s">
        <v>11</v>
      </c>
      <c r="Z31" s="6" t="s">
        <v>11</v>
      </c>
      <c r="AA31" s="6" t="s">
        <v>16</v>
      </c>
      <c r="AB31" s="6"/>
    </row>
    <row r="32" spans="1:28">
      <c r="B32" s="6"/>
      <c r="C32" s="4"/>
      <c r="D32" s="6"/>
      <c r="E32" s="6"/>
      <c r="F32" s="6"/>
      <c r="G32" s="6"/>
      <c r="H32" s="6"/>
      <c r="I32" s="6"/>
      <c r="J32" s="6"/>
      <c r="K32" s="6"/>
      <c r="Y32" s="6" t="s">
        <v>11</v>
      </c>
      <c r="Z32" s="6" t="s">
        <v>11</v>
      </c>
      <c r="AA32" s="6" t="s">
        <v>11</v>
      </c>
      <c r="AB32" s="6"/>
    </row>
    <row r="33" spans="2:39">
      <c r="B33" s="6"/>
      <c r="C33" s="26"/>
      <c r="D33" s="6"/>
      <c r="E33" s="6"/>
      <c r="F33" s="6"/>
      <c r="G33" s="6"/>
      <c r="H33" s="6"/>
      <c r="I33" s="6"/>
      <c r="J33" s="6"/>
      <c r="K33" s="6"/>
      <c r="Y33" s="6" t="s">
        <v>11</v>
      </c>
      <c r="Z33" s="6" t="s">
        <v>11</v>
      </c>
      <c r="AA33" s="6"/>
      <c r="AB33" s="6"/>
    </row>
    <row r="34" spans="2:39">
      <c r="B34" s="6"/>
      <c r="C34" s="6"/>
      <c r="D34" s="6"/>
      <c r="E34" s="6"/>
      <c r="F34" s="6"/>
      <c r="G34" s="6"/>
      <c r="H34" s="6"/>
      <c r="I34" s="6"/>
      <c r="J34" s="6"/>
      <c r="K34" s="6"/>
      <c r="Y34" s="6" t="s">
        <v>11</v>
      </c>
      <c r="Z34" s="6"/>
      <c r="AA34" s="6"/>
      <c r="AB34" s="6"/>
    </row>
    <row r="35" spans="2:39">
      <c r="B35" s="6"/>
      <c r="C35" s="6" t="s">
        <v>11</v>
      </c>
      <c r="D35" s="6"/>
      <c r="E35" s="6"/>
      <c r="F35" s="6"/>
      <c r="G35" s="6"/>
      <c r="H35" s="6"/>
      <c r="I35" s="6"/>
      <c r="J35" s="6" t="s">
        <v>16</v>
      </c>
      <c r="K35" s="6"/>
      <c r="L35" s="6" t="s">
        <v>11</v>
      </c>
      <c r="M35" s="6"/>
      <c r="N35" s="6"/>
      <c r="O35" s="6"/>
      <c r="P35" s="6" t="s">
        <v>11</v>
      </c>
      <c r="Q35" s="6"/>
      <c r="R35" s="6"/>
      <c r="S35" s="6" t="s">
        <v>11</v>
      </c>
      <c r="T35" s="6"/>
      <c r="U35" s="6"/>
      <c r="V35" s="6"/>
      <c r="W35" s="6" t="s">
        <v>11</v>
      </c>
      <c r="X35" s="6"/>
      <c r="Y35" s="11" t="s">
        <v>11</v>
      </c>
      <c r="Z35" s="11" t="s">
        <v>11</v>
      </c>
      <c r="AA35" s="11" t="s">
        <v>11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2:39">
      <c r="B36" s="6"/>
      <c r="C36" s="19"/>
      <c r="D36" s="6"/>
      <c r="E36" s="6"/>
      <c r="F36" s="6" t="s">
        <v>11</v>
      </c>
      <c r="G36" s="6"/>
      <c r="H36" s="6"/>
      <c r="I36" s="6"/>
      <c r="J36" s="6"/>
      <c r="K36" s="6"/>
      <c r="L36" s="6"/>
      <c r="M36" s="6" t="s">
        <v>11</v>
      </c>
      <c r="N36" s="6"/>
      <c r="O36" s="6" t="s">
        <v>11</v>
      </c>
      <c r="P36" s="6"/>
      <c r="Q36" s="6"/>
      <c r="R36" s="6"/>
      <c r="S36" s="6" t="s">
        <v>11</v>
      </c>
      <c r="T36" s="6"/>
      <c r="U36" s="6"/>
      <c r="V36" s="6"/>
      <c r="W36" s="6" t="s">
        <v>11</v>
      </c>
      <c r="X36" s="6"/>
      <c r="Y36" s="11" t="s">
        <v>11</v>
      </c>
      <c r="Z36" s="11" t="s">
        <v>11</v>
      </c>
      <c r="AA36" s="11" t="s">
        <v>11</v>
      </c>
      <c r="AB36" s="6"/>
      <c r="AC36" s="6" t="s">
        <v>11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2:39">
      <c r="B37" s="6"/>
      <c r="C37" s="1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 t="s">
        <v>11</v>
      </c>
      <c r="T37" s="6"/>
      <c r="U37" s="6"/>
      <c r="V37" s="6"/>
      <c r="W37" s="6"/>
      <c r="X37" s="6"/>
      <c r="Y37" s="11" t="s">
        <v>11</v>
      </c>
      <c r="Z37" s="16" t="s">
        <v>11</v>
      </c>
      <c r="AA37" s="11" t="s">
        <v>11</v>
      </c>
      <c r="AB37" s="6"/>
      <c r="AC37" s="6" t="s">
        <v>11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2:39">
      <c r="B38" s="6"/>
      <c r="C38" s="19"/>
      <c r="D38" s="6"/>
      <c r="E38" s="6"/>
      <c r="F38" s="6"/>
      <c r="G38" s="6"/>
      <c r="H38" s="6"/>
      <c r="I38" s="6"/>
      <c r="J38" s="6"/>
      <c r="K38" s="6" t="s">
        <v>16</v>
      </c>
      <c r="L38" s="6"/>
      <c r="M38" s="6"/>
      <c r="N38" s="6"/>
      <c r="O38" s="6"/>
      <c r="P38" s="6"/>
      <c r="Q38" s="6"/>
      <c r="R38" s="6"/>
      <c r="S38" s="6" t="s">
        <v>11</v>
      </c>
      <c r="T38" s="6"/>
      <c r="U38" s="6"/>
      <c r="V38" s="6"/>
      <c r="W38" s="6"/>
      <c r="X38" s="6"/>
      <c r="Y38" s="11" t="s">
        <v>11</v>
      </c>
      <c r="Z38" s="17" t="s">
        <v>16</v>
      </c>
      <c r="AA38" s="11" t="s">
        <v>11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>
      <c r="B39" s="6"/>
      <c r="C39" s="1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1" t="s">
        <v>11</v>
      </c>
      <c r="T39" s="11"/>
      <c r="U39" s="11"/>
      <c r="V39" s="11"/>
      <c r="W39" s="11" t="s">
        <v>11</v>
      </c>
      <c r="X39" s="6"/>
      <c r="Y39" s="11" t="s">
        <v>11</v>
      </c>
      <c r="Z39" s="6"/>
      <c r="AA39" s="6"/>
      <c r="AB39" s="6"/>
      <c r="AC39" s="11" t="s">
        <v>11</v>
      </c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2:39">
      <c r="B40" s="6"/>
      <c r="C40" s="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1" t="s">
        <v>16</v>
      </c>
      <c r="T40" s="11"/>
      <c r="U40" s="11"/>
      <c r="V40" s="11"/>
      <c r="W40" s="11"/>
      <c r="X40" s="6"/>
      <c r="Y40" s="6"/>
      <c r="Z40" s="6"/>
      <c r="AA40" s="6"/>
      <c r="AB40" s="6"/>
      <c r="AC40" s="11" t="s">
        <v>11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2:39">
      <c r="B41" s="6"/>
      <c r="C41" s="1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1" t="s">
        <v>11</v>
      </c>
      <c r="T41" s="11"/>
      <c r="U41" s="11"/>
      <c r="V41" s="11"/>
      <c r="W41" s="16" t="s">
        <v>11</v>
      </c>
      <c r="X41" s="11"/>
      <c r="Y41" s="6" t="s">
        <v>11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2:39">
      <c r="B42" s="6"/>
      <c r="C42" s="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1" t="s">
        <v>11</v>
      </c>
      <c r="T42" s="11"/>
      <c r="U42" s="11"/>
      <c r="V42" s="11"/>
      <c r="W42" s="17" t="s">
        <v>11</v>
      </c>
      <c r="X42" s="6"/>
      <c r="Y42" s="1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2:39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1" t="s">
        <v>11</v>
      </c>
      <c r="R43" s="11"/>
      <c r="S43" s="11"/>
      <c r="T43" s="11"/>
      <c r="U43" s="11" t="s">
        <v>11</v>
      </c>
      <c r="V43" s="11"/>
      <c r="W43" s="11" t="s">
        <v>11</v>
      </c>
      <c r="X43" s="11" t="s">
        <v>11</v>
      </c>
      <c r="Y43" s="11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2:39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1" t="s">
        <v>11</v>
      </c>
      <c r="R44" s="11"/>
      <c r="S44" s="11"/>
      <c r="T44" s="11"/>
      <c r="U44" s="11" t="s">
        <v>11</v>
      </c>
      <c r="V44" s="11"/>
      <c r="W44" s="6" t="s">
        <v>11</v>
      </c>
      <c r="X44" s="6" t="s">
        <v>11</v>
      </c>
      <c r="Y44" s="11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2:39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1" t="s">
        <v>16</v>
      </c>
      <c r="R45" s="11"/>
      <c r="S45" s="11"/>
      <c r="T45" s="11"/>
      <c r="U45" s="11" t="s">
        <v>11</v>
      </c>
      <c r="V45" s="11"/>
      <c r="W45" s="6"/>
      <c r="X45" s="11" t="s">
        <v>11</v>
      </c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2:39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1"/>
      <c r="W46" s="11"/>
      <c r="X46" s="11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2:39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 t="s">
        <v>11</v>
      </c>
      <c r="R47" s="6"/>
      <c r="S47" s="6"/>
      <c r="T47" s="6"/>
      <c r="U47" s="6" t="s">
        <v>11</v>
      </c>
      <c r="V47" s="11"/>
      <c r="W47" s="11"/>
      <c r="X47" s="11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2:39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 t="s">
        <v>16</v>
      </c>
      <c r="R48" s="6"/>
      <c r="S48" s="6"/>
      <c r="T48" s="6"/>
      <c r="U48" s="1" t="s">
        <v>11</v>
      </c>
      <c r="V48" s="11"/>
      <c r="W48" s="11"/>
      <c r="X48" s="11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2:3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 t="s">
        <v>11</v>
      </c>
      <c r="R49" s="6"/>
      <c r="S49" s="6"/>
      <c r="T49" s="6"/>
      <c r="U49" s="1" t="s">
        <v>11</v>
      </c>
      <c r="V49" s="6"/>
      <c r="W49" s="6" t="s">
        <v>16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2:3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 t="s">
        <v>11</v>
      </c>
      <c r="R50" s="6"/>
      <c r="S50" s="6"/>
      <c r="T50" s="6"/>
      <c r="U50" s="1" t="s">
        <v>11</v>
      </c>
      <c r="V50" s="6"/>
      <c r="W50" s="6" t="s">
        <v>11</v>
      </c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2:3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 t="s">
        <v>11</v>
      </c>
      <c r="R51" s="6"/>
      <c r="S51" s="6"/>
      <c r="T51" s="6"/>
      <c r="U51" s="1" t="s">
        <v>11</v>
      </c>
      <c r="V51" s="6"/>
      <c r="W51" s="6" t="s">
        <v>11</v>
      </c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2:3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 t="s">
        <v>16</v>
      </c>
      <c r="R52" s="6"/>
      <c r="S52" s="6"/>
      <c r="T52" s="6"/>
      <c r="U52" s="1" t="s">
        <v>11</v>
      </c>
      <c r="V52" s="6"/>
      <c r="W52" s="6" t="s">
        <v>11</v>
      </c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2:3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 t="s">
        <v>11</v>
      </c>
      <c r="R53" s="6"/>
      <c r="S53" s="6"/>
      <c r="T53" s="6"/>
      <c r="U53" s="1" t="s">
        <v>11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2:3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 t="s">
        <v>11</v>
      </c>
      <c r="R54" s="6"/>
      <c r="S54" s="6"/>
      <c r="T54" s="6"/>
      <c r="U54" s="1" t="s">
        <v>11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2:3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 t="s">
        <v>11</v>
      </c>
      <c r="R55" s="6"/>
      <c r="S55" s="6"/>
      <c r="T55" s="6"/>
      <c r="U55" s="1" t="s">
        <v>11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2:3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1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2:3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1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2:3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1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2:3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2:3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2:3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2:3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2:3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2:3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>
      <c r="A79" s="2" t="s">
        <v>11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>
      <c r="D80" s="2" t="s">
        <v>11</v>
      </c>
    </row>
  </sheetData>
  <pageMargins left="0.75" right="0.75" top="1" bottom="1" header="0.5" footer="0.5"/>
  <pageSetup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89"/>
  <sheetViews>
    <sheetView topLeftCell="C37" workbookViewId="0">
      <selection activeCell="G68" sqref="G68"/>
    </sheetView>
  </sheetViews>
  <sheetFormatPr defaultRowHeight="13.2"/>
  <cols>
    <col min="1" max="1" width="13.33203125" customWidth="1"/>
    <col min="2" max="2" width="36.5546875" customWidth="1"/>
    <col min="3" max="3" width="14.109375" customWidth="1"/>
    <col min="4" max="4" width="17.33203125" customWidth="1"/>
    <col min="5" max="5" width="11.88671875" customWidth="1"/>
    <col min="6" max="6" width="11.5546875" customWidth="1"/>
    <col min="7" max="7" width="16.109375" customWidth="1"/>
    <col min="8" max="8" width="12" customWidth="1"/>
    <col min="9" max="9" width="9.6640625" customWidth="1"/>
    <col min="10" max="10" width="17.21875" customWidth="1"/>
    <col min="11" max="11" width="12" customWidth="1"/>
    <col min="12" max="12" width="18.6640625" customWidth="1"/>
    <col min="13" max="15" width="9.6640625" customWidth="1"/>
    <col min="16" max="16" width="2" customWidth="1"/>
    <col min="17" max="18" width="9.6640625" customWidth="1"/>
    <col min="19" max="19" width="15" customWidth="1"/>
    <col min="20" max="22" width="13.33203125" customWidth="1"/>
    <col min="23" max="23" width="10.44140625" customWidth="1"/>
    <col min="24" max="24" width="11.5546875" customWidth="1"/>
    <col min="25" max="25" width="14.6640625" customWidth="1"/>
    <col min="26" max="26" width="10.6640625" customWidth="1"/>
    <col min="27" max="27" width="9.6640625" customWidth="1"/>
    <col min="28" max="28" width="14.6640625" customWidth="1"/>
    <col min="29" max="29" width="18.44140625" customWidth="1"/>
    <col min="32" max="32" width="19.44140625" customWidth="1"/>
  </cols>
  <sheetData>
    <row r="1" spans="1:39" ht="13.8" thickBot="1">
      <c r="A1" s="2" t="s">
        <v>11</v>
      </c>
      <c r="B1" s="7" t="s">
        <v>12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11</v>
      </c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4.4" thickTop="1" thickBot="1">
      <c r="B2" s="34" t="s">
        <v>37</v>
      </c>
      <c r="C2" s="8"/>
      <c r="D2" s="8"/>
      <c r="E2" s="24"/>
      <c r="F2" s="8"/>
      <c r="G2" s="8"/>
      <c r="H2" s="76"/>
      <c r="I2" s="76"/>
      <c r="J2" s="77" t="s">
        <v>11</v>
      </c>
      <c r="K2" s="76" t="s">
        <v>11</v>
      </c>
      <c r="L2" s="76"/>
      <c r="M2" s="76"/>
      <c r="N2" s="78"/>
      <c r="O2" s="6"/>
      <c r="P2" s="6"/>
      <c r="Q2" s="6"/>
      <c r="R2" s="6"/>
      <c r="S2" s="6"/>
      <c r="T2" s="6"/>
      <c r="U2" s="6"/>
      <c r="V2" s="6"/>
      <c r="W2" s="6"/>
      <c r="X2" s="6"/>
      <c r="Y2" s="7" t="s">
        <v>11</v>
      </c>
      <c r="Z2" s="6"/>
      <c r="AA2" s="6"/>
      <c r="AB2" s="6"/>
      <c r="AC2" s="6"/>
      <c r="AD2" s="6"/>
      <c r="AE2" s="31"/>
      <c r="AF2" s="13"/>
      <c r="AG2" s="13"/>
      <c r="AH2" s="6"/>
      <c r="AI2" s="6"/>
      <c r="AJ2" s="6"/>
      <c r="AK2" s="6"/>
      <c r="AL2" s="6"/>
      <c r="AM2" s="6"/>
    </row>
    <row r="3" spans="1:39" ht="13.8" thickTop="1">
      <c r="A3" s="3" t="s">
        <v>25</v>
      </c>
      <c r="B3" s="34" t="s">
        <v>11</v>
      </c>
      <c r="C3" s="8" t="s">
        <v>11</v>
      </c>
      <c r="D3" s="9"/>
      <c r="E3" s="72" t="s">
        <v>32</v>
      </c>
      <c r="F3" s="8">
        <v>915</v>
      </c>
      <c r="G3" s="36" t="s">
        <v>36</v>
      </c>
      <c r="H3" s="79" t="s">
        <v>11</v>
      </c>
      <c r="I3" s="80"/>
      <c r="J3" s="67" t="s">
        <v>56</v>
      </c>
      <c r="K3" s="32" t="s">
        <v>57</v>
      </c>
      <c r="L3" s="13">
        <v>30</v>
      </c>
      <c r="M3" s="81"/>
      <c r="N3" s="82" t="s">
        <v>11</v>
      </c>
      <c r="O3" s="63"/>
      <c r="P3" s="7" t="s">
        <v>11</v>
      </c>
      <c r="Q3" s="38" t="s">
        <v>11</v>
      </c>
      <c r="R3" s="31" t="s">
        <v>11</v>
      </c>
      <c r="S3" s="6" t="s">
        <v>11</v>
      </c>
      <c r="T3" s="6"/>
      <c r="U3" s="6"/>
      <c r="V3" s="6"/>
      <c r="W3" s="6"/>
      <c r="X3" s="6"/>
      <c r="Y3" s="13"/>
      <c r="Z3" s="13"/>
      <c r="AA3" s="13"/>
      <c r="AB3" s="13"/>
      <c r="AC3" s="6"/>
      <c r="AD3" s="6"/>
      <c r="AE3" s="31"/>
      <c r="AF3" s="13"/>
      <c r="AG3" s="13"/>
      <c r="AH3" s="13"/>
      <c r="AI3" s="6"/>
      <c r="AJ3" s="6"/>
      <c r="AK3" s="6"/>
      <c r="AL3" s="6"/>
      <c r="AM3" s="6"/>
    </row>
    <row r="4" spans="1:39" ht="15.6">
      <c r="B4" s="35" t="s">
        <v>11</v>
      </c>
      <c r="C4" s="13" t="s">
        <v>11</v>
      </c>
      <c r="D4" s="12" t="s">
        <v>11</v>
      </c>
      <c r="E4" s="73"/>
      <c r="F4" s="15"/>
      <c r="G4" s="37"/>
      <c r="H4" s="69" t="s">
        <v>63</v>
      </c>
      <c r="I4" s="12">
        <v>4</v>
      </c>
      <c r="J4" s="67" t="s">
        <v>55</v>
      </c>
      <c r="K4" s="32" t="s">
        <v>54</v>
      </c>
      <c r="L4" s="13">
        <v>10</v>
      </c>
      <c r="M4" s="69" t="s">
        <v>58</v>
      </c>
      <c r="N4" s="64">
        <v>60</v>
      </c>
      <c r="O4" s="6"/>
      <c r="P4" s="6"/>
      <c r="Q4" s="6"/>
      <c r="R4" s="6"/>
      <c r="S4" s="6"/>
      <c r="T4" s="6"/>
      <c r="U4" s="6"/>
      <c r="V4" s="6"/>
      <c r="W4" s="6"/>
      <c r="X4" s="6"/>
      <c r="AC4" s="6"/>
      <c r="AD4" s="6"/>
      <c r="AE4" s="13"/>
      <c r="AF4" s="13"/>
      <c r="AG4" s="13"/>
      <c r="AH4" s="13"/>
      <c r="AI4" s="6"/>
      <c r="AJ4" s="6"/>
      <c r="AK4" s="6"/>
      <c r="AL4" s="6"/>
      <c r="AM4" s="6"/>
    </row>
    <row r="5" spans="1:39" ht="16.2" thickBot="1">
      <c r="A5" s="2" t="s">
        <v>11</v>
      </c>
      <c r="B5" s="74" t="s">
        <v>17</v>
      </c>
      <c r="C5" s="83">
        <v>500</v>
      </c>
      <c r="D5" s="5" t="s">
        <v>18</v>
      </c>
      <c r="E5" s="21" t="s">
        <v>6</v>
      </c>
      <c r="F5" s="14">
        <f>3*10^8/$F$3/10^6*100</f>
        <v>32.786885245901637</v>
      </c>
      <c r="G5" s="37" t="s">
        <v>53</v>
      </c>
      <c r="H5" s="70" t="s">
        <v>62</v>
      </c>
      <c r="I5" s="5">
        <v>1</v>
      </c>
      <c r="J5" s="68" t="s">
        <v>51</v>
      </c>
      <c r="K5" s="62" t="s">
        <v>52</v>
      </c>
      <c r="L5" s="10">
        <v>54</v>
      </c>
      <c r="M5" s="23"/>
      <c r="N5" s="75" t="s">
        <v>11</v>
      </c>
      <c r="O5" s="6"/>
      <c r="P5" s="6"/>
      <c r="Q5" s="6"/>
      <c r="R5" s="6"/>
      <c r="S5" s="6"/>
      <c r="T5" s="6"/>
      <c r="U5" s="6"/>
      <c r="V5" s="6" t="s">
        <v>11</v>
      </c>
      <c r="W5" s="6"/>
      <c r="X5" s="6"/>
      <c r="AC5" s="6"/>
      <c r="AD5" s="6"/>
      <c r="AE5" s="13"/>
      <c r="AF5" s="13"/>
      <c r="AG5" s="13"/>
      <c r="AH5" s="13"/>
      <c r="AI5" s="6"/>
      <c r="AJ5" s="6"/>
      <c r="AK5" s="6"/>
      <c r="AL5" s="6"/>
      <c r="AM5" s="6"/>
    </row>
    <row r="6" spans="1:39">
      <c r="A6" s="2" t="s">
        <v>11</v>
      </c>
      <c r="B6" s="71" t="s">
        <v>11</v>
      </c>
      <c r="C6" s="18" t="s">
        <v>11</v>
      </c>
      <c r="D6" s="18" t="s">
        <v>11</v>
      </c>
      <c r="E6" s="18" t="s">
        <v>11</v>
      </c>
      <c r="F6" s="18" t="s">
        <v>11</v>
      </c>
      <c r="G6" s="18" t="s">
        <v>11</v>
      </c>
      <c r="H6" s="6"/>
      <c r="I6" s="6"/>
      <c r="J6" s="6"/>
      <c r="K6" s="6"/>
      <c r="L6" s="6"/>
      <c r="M6" s="6"/>
      <c r="N6" s="6" t="s">
        <v>11</v>
      </c>
      <c r="O6" s="6"/>
      <c r="P6" s="6"/>
      <c r="Q6" s="6"/>
      <c r="R6" s="6"/>
      <c r="S6" s="6"/>
      <c r="T6" s="6" t="s">
        <v>11</v>
      </c>
      <c r="U6" s="6"/>
      <c r="V6" s="6"/>
      <c r="W6" s="6"/>
      <c r="X6" s="6"/>
      <c r="AC6" s="6"/>
      <c r="AD6" s="6"/>
      <c r="AE6" s="13"/>
      <c r="AF6" s="13"/>
      <c r="AG6" s="13"/>
      <c r="AH6" s="13"/>
      <c r="AI6" s="6"/>
      <c r="AJ6" s="6"/>
      <c r="AK6" s="6"/>
      <c r="AL6" s="6"/>
      <c r="AM6" s="6"/>
    </row>
    <row r="7" spans="1:39" ht="13.8" thickBot="1">
      <c r="B7" s="31" t="s">
        <v>11</v>
      </c>
      <c r="C7" s="33"/>
      <c r="D7" s="13"/>
      <c r="E7" s="6"/>
      <c r="F7" s="6" t="s">
        <v>11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AC7" s="6"/>
      <c r="AD7" s="6"/>
      <c r="AE7" s="13"/>
      <c r="AF7" s="13"/>
      <c r="AG7" s="13"/>
      <c r="AH7" s="13"/>
      <c r="AI7" s="6"/>
      <c r="AJ7" s="6"/>
      <c r="AK7" s="6"/>
      <c r="AL7" s="6"/>
      <c r="AM7" s="6"/>
    </row>
    <row r="8" spans="1:39">
      <c r="A8" s="3" t="s">
        <v>15</v>
      </c>
      <c r="B8" s="28" t="s">
        <v>20</v>
      </c>
      <c r="C8" s="39">
        <v>28</v>
      </c>
      <c r="D8" s="39">
        <v>28</v>
      </c>
      <c r="E8" s="9" t="s">
        <v>3</v>
      </c>
      <c r="F8" s="6"/>
      <c r="G8" s="6"/>
      <c r="H8" s="6"/>
      <c r="I8" s="6"/>
      <c r="J8" s="6"/>
      <c r="K8" s="6"/>
      <c r="L8" s="6"/>
      <c r="M8" s="6"/>
    </row>
    <row r="9" spans="1:39">
      <c r="A9" t="s">
        <v>11</v>
      </c>
      <c r="B9" s="29" t="s">
        <v>10</v>
      </c>
      <c r="C9" s="40">
        <v>1</v>
      </c>
      <c r="D9" s="40">
        <v>1</v>
      </c>
      <c r="E9" s="12" t="s">
        <v>4</v>
      </c>
      <c r="F9" s="6"/>
      <c r="G9" s="6" t="s">
        <v>11</v>
      </c>
      <c r="H9" s="6"/>
      <c r="I9" s="6"/>
      <c r="J9" s="6"/>
      <c r="K9" s="6"/>
      <c r="L9" s="6"/>
      <c r="M9" s="6"/>
    </row>
    <row r="10" spans="1:39">
      <c r="A10" s="2" t="s">
        <v>11</v>
      </c>
      <c r="B10" s="29" t="s">
        <v>13</v>
      </c>
      <c r="C10" s="41">
        <f>C8-C9</f>
        <v>27</v>
      </c>
      <c r="D10" s="41">
        <f>D8-D9</f>
        <v>27</v>
      </c>
      <c r="E10" s="12" t="s">
        <v>3</v>
      </c>
      <c r="F10" s="6"/>
      <c r="G10" s="6"/>
      <c r="H10" s="6"/>
      <c r="I10" s="6"/>
      <c r="J10" s="6"/>
      <c r="K10" s="6"/>
      <c r="L10" s="6"/>
      <c r="M10" s="6"/>
    </row>
    <row r="11" spans="1:39">
      <c r="A11" t="s">
        <v>16</v>
      </c>
      <c r="B11" s="29" t="s">
        <v>1</v>
      </c>
      <c r="C11" s="42">
        <v>3</v>
      </c>
      <c r="D11" s="42">
        <v>3</v>
      </c>
      <c r="E11" s="12" t="s">
        <v>5</v>
      </c>
      <c r="F11" s="6"/>
      <c r="G11" s="6"/>
      <c r="H11" s="6"/>
      <c r="I11" s="6"/>
      <c r="J11" s="6"/>
      <c r="K11" s="6"/>
      <c r="L11" s="6"/>
      <c r="M11" s="6"/>
    </row>
    <row r="12" spans="1:39" ht="13.8" thickBot="1">
      <c r="A12" t="s">
        <v>11</v>
      </c>
      <c r="B12" s="30" t="s">
        <v>7</v>
      </c>
      <c r="C12" s="43">
        <f t="shared" ref="C12:D12" si="0">C10+C11</f>
        <v>30</v>
      </c>
      <c r="D12" s="43">
        <f t="shared" si="0"/>
        <v>30</v>
      </c>
      <c r="E12" s="5" t="s">
        <v>3</v>
      </c>
      <c r="F12" s="6"/>
      <c r="G12" s="6"/>
      <c r="H12" s="6" t="s">
        <v>11</v>
      </c>
      <c r="I12" s="6" t="s">
        <v>11</v>
      </c>
      <c r="J12" s="6"/>
      <c r="K12" s="6" t="s">
        <v>11</v>
      </c>
      <c r="L12" s="6"/>
      <c r="M12" s="6"/>
    </row>
    <row r="13" spans="1:39" ht="18.600000000000001" customHeight="1">
      <c r="A13" s="2" t="s">
        <v>11</v>
      </c>
      <c r="B13" s="25" t="s">
        <v>45</v>
      </c>
      <c r="C13" s="59" t="s">
        <v>50</v>
      </c>
      <c r="D13" s="58" t="s">
        <v>50</v>
      </c>
      <c r="E13" s="65"/>
      <c r="F13" s="6" t="s">
        <v>11</v>
      </c>
      <c r="G13" s="6"/>
      <c r="H13" s="6">
        <v>4</v>
      </c>
      <c r="I13" s="6">
        <v>6</v>
      </c>
      <c r="J13" s="6">
        <v>8</v>
      </c>
      <c r="K13" s="6">
        <v>10</v>
      </c>
      <c r="L13" s="6">
        <v>12</v>
      </c>
      <c r="M13" s="6">
        <v>14</v>
      </c>
    </row>
    <row r="14" spans="1:39" ht="18.600000000000001" customHeight="1" thickBot="1">
      <c r="B14" s="25"/>
      <c r="C14" s="60" t="s">
        <v>14</v>
      </c>
      <c r="D14" s="61" t="s">
        <v>47</v>
      </c>
      <c r="E14" s="66"/>
      <c r="F14" s="6"/>
      <c r="G14" s="13">
        <v>500</v>
      </c>
      <c r="H14" s="86">
        <f>32.4+20*LOG($G14/1000)+20*LOG($F$3)-16.9-10*LOG($L$3)+10*LOG($F$3)+20*LOG($L$4-D27)+IF($L$5&lt;55,IF($L$5&lt;35,-10+0.354*$L$5,2.5+0.0075*($L$5-35)),4-0.114*($L$5-35))+IF(H13&lt;$L$4,0,-18*(1+H13-$L$4))+IF(H13&gt;$L$4,54,IF($C$5&gt;500,54-0.8*(H13-$L$4),54-0.8*(H13-$L$4)*$C$5/500))+IF(H13&gt;$L$4,18,18-15*(H13-$L$4)/($L$4-D27))*LOG($C$5/1000)+(-4+0.7*($F$3/925-1))*LOG($F$3)-9*LOG($N$4)</f>
        <v>127.77787428776827</v>
      </c>
      <c r="I14" s="86">
        <f>32.4+20*LOG($G14/1000)+20*LOG($F$3)-16.9-10*LOG($L$3)+10*LOG($F$3)+20*LOG($L$4-D27)+IF($L$5&lt;55,IF($L$5&lt;35,-10+0.354*$L$5,2.5+0.0075*($L$5-35)),4-0.114*($L$5-35))+IF(I13&lt;$L$4,0,-18*(1+I13-$L$4))+IF(I13&gt;$L$4,54,IF($C$5&gt;500,54-0.8*(I13-$L$4),54-0.8*(I13-$L$4)*$C$5/500))+IF(I13&gt;$L$4,18,18-15*(I13-$L$4)/($L$4-D27))*LOG($C$5/1000)+(-4+0.7*($F$3/925-1))*LOG($F$3)-9*LOG($N$4)</f>
        <v>127.1813076066482</v>
      </c>
      <c r="J14" s="13">
        <f>32.4+20*LOG($G14/1000)+20*LOG($F$3)-16.9-10*LOG($L$3)+10*LOG($F$3)+20*LOG($L$4-D27)+IF($L$5&lt;55,IF($L$5&lt;35,-10+0.354*$L$5,2.5+0.0075*($L$5-35)),4-0.114*($L$5-35))+IF(J13&lt;$L$4,0,-18*(1+J13-$L$4))+IF(J13&gt;$L$4,54,IF($C$5&gt;500,54-0.8*(J13-$L$4),54-0.8*(J13-$L$4)*$C$5/500))+IF(J13&gt;$L$4,18,18-15*(J13-$L$4)/($L$4-D27))*LOG($C$5/1000)+(-4+0.7*($F$3/925-1))*LOG($F$3)-9*LOG($N$4)</f>
        <v>126.58474092552817</v>
      </c>
      <c r="K14" s="13">
        <f>32.4+20*LOG($G14/1000)+20*LOG($F$3)-16.9-10*LOG($L$3)+10*LOG($F$3)+20*LOG($L$4-D27)+IF($L$5&lt;55,IF($L$5&lt;35,-10+0.354*$L$5,2.5+0.0075*($L$5-35)),4-0.114*($L$5-35))+IF(K13&lt;$L$4,0,-18*(1+K13-$L$4))+IF(K13&gt;$L$4,54,IF($C$5&gt;500,54-0.8*(K13-$L$4),54-0.8*(K13-$L$4)*$C$5/500))+IF(K13&gt;$L$4,18,18-15*(K13-$L$4)/($L$4-D27))*LOG($C$5/1000)+(-4+0.7*($F$3/925-1))*LOG($F$3)-9*LOG($N$4)</f>
        <v>107.98817424440807</v>
      </c>
      <c r="L14" s="13">
        <f>32.4+20*LOG($G14/1000)+20*LOG($F$3)-16.9-10*LOG($L$3)+10*LOG($F$3)+20*LOG($L$4-D27)+IF($L$5&lt;55,IF($L$5&lt;35,-10+0.354*$L$5,2.5+0.0075*($L$5-35)),4-0.114*($L$5-35))+IF(L13&lt;$L$4,0,-18*(1+L13-$L$4))+IF(L13&gt;$L$4,54,IF($C$5&gt;500,54-0.8*(L13-$L$4),54-0.8*(L13-$L$4)*$C$5/500))+IF(L13&gt;$L$4,18,18-15*(L13-$L$4)/($L$4-D27))*LOG($C$5/1000)+(-4+0.7*($F$3/925-1))*LOG($F$3)-9*LOG($N$4)</f>
        <v>71.988174244408071</v>
      </c>
      <c r="M14" s="6">
        <f>32.4+20*LOG($G14/1000)+20*LOG($F$3)-16.9-10*LOG($L$3)+10*LOG($F$3)+20*LOG($L$4-D27)+IF($L$5&lt;55,IF($L$5&lt;35,-10+0.354*$L$5,2.5+0.0075*($L$5-35)),4-0.114*($L$5-35))+IF(M13&lt;$L$4,0,-18*(1+M13-$L$4))+IF(M13&gt;$L$4,54,IF($C$5&gt;500,54-0.8*(M13-$L$4),54-0.8*(M13-$L$4)*$C$5/500))+IF(M13&gt;$L$4,18,18-15*(M13-$L$4)/($L$4-D27))*LOG($C$5/1000)+(-4+0.7*($F$3/925-1))*LOG($F$3)-9*LOG($N$4)</f>
        <v>35.988174244408086</v>
      </c>
    </row>
    <row r="15" spans="1:39">
      <c r="A15" s="3" t="s">
        <v>23</v>
      </c>
      <c r="B15" s="28" t="s">
        <v>39</v>
      </c>
      <c r="C15" s="44">
        <f>42.6+26*LOG($C$5/1000)+20*LOG($F$3)</f>
        <v>94.001641994065466</v>
      </c>
      <c r="D15" s="44">
        <f>32.4+20*LOG($C$5/1000)+20*LOG($F$3)</f>
        <v>85.607821968049336</v>
      </c>
      <c r="E15" s="9" t="s">
        <v>4</v>
      </c>
      <c r="F15" s="6" t="s">
        <v>11</v>
      </c>
      <c r="G15" s="13">
        <v>1000</v>
      </c>
      <c r="H15" s="86">
        <f>32.4+20*LOG($G15/1000)+20*LOG($F$3)-16.9-10*LOG($L$3)+10*LOG($F$3)+20*LOG($L$4-D27)+IF($L$5&lt;55,IF($L$5&lt;35,-10+0.354*$L$5,2.5+0.0075*($L$5-35)),4-0.114*($L$5-35))+IF(H13&lt;$L$4,0,-18*(1+H13-$L$4))+IF(H13&gt;$L$4,54,IF($C$5&gt;500,54-0.8*(H13-$L$4),54-0.8*(H13-$L$4)*$C$5/500))+IF(H13&gt;$L$4,18,18-15*(H13-$L$4)/($L$4-D27))*LOG($C$5/1000)+(-4+0.7*($F$3/925-1))*LOG($F$3)-9*LOG($N$4)</f>
        <v>133.7984742010479</v>
      </c>
      <c r="I15" s="87">
        <f>32.4+20*LOG($G15/1000)+20*LOG($F$3)-16.9-10*LOG($L$3)+10*LOG($F$3)+20*LOG($L$4-D27)+IF($L$5&lt;55,IF($L$5&lt;35,-10+0.354*$L$5,2.5+0.0075*($L$5-35)),4-0.114*($L$5-35))+IF(I13&lt;$L$4,0,-18*(1+I13-$L$4))+IF(I13&gt;$L$4,54,IF($C$5&gt;500,54-0.8*(I13-$L$4),54-0.8*(I13-$L$4)*$C$5/500))+IF(I13&gt;$L$4,18,18-15*(I13-$L$4)/($L$4-D27))*LOG($C$5/1000)+(-4+0.7*($F$3/925-1))*LOG($F$3)-9*LOG($N$4)</f>
        <v>133.20190751992783</v>
      </c>
      <c r="J15" s="13">
        <f>32.4+20*LOG($G15/1000)+20*LOG($F$3)-16.9-10*LOG($L$3)+10*LOG($F$3)+20*LOG($L$4-D27)+IF($L$5&lt;55,IF($L$5&lt;35,-10+0.354*$L$5,2.5+0.0075*($L$5-35)),4-0.114*($L$5-35))+IF(J13&lt;$L$4,0,-18*(1+J13-$L$4))+IF(J13&gt;$L$4,54,IF($C$5&gt;500,54-0.8*(J13-$L$4),54-0.8*(J13-$L$4)*$C$5/500))+IF(J13&gt;$L$4,18,18-15*(J13-$L$4)/($L$4-D27))*LOG($C$5/1000)+(-4+0.7*($F$3/925-1))*LOG($F$3)-9*LOG($N$4)</f>
        <v>132.60534083880779</v>
      </c>
      <c r="K15" s="13">
        <f>32.4+20*LOG($G15/1000)+20*LOG($F$3)-16.9-10*LOG($L$3)+10*LOG($F$3)+20*LOG($L$4-D27)+IF($L$5&lt;55,IF($L$5&lt;35,-10+0.354*$L$5,2.5+0.0075*($L$5-35)),4-0.114*($L$5-35))+IF(K13&lt;$L$4,0,-18*(1+K13-$L$4))+IF(K13&gt;$L$4,54,IF($C$5&gt;500,54-0.8*(K13-$L$4),54-0.8*(K13-$L$4)*$C$5/500))+IF(K13&gt;$L$4,18,18-15*(K13-$L$4)/($L$4-D27))*LOG($C$5/1000)+(-4+0.7*($F$3/925-1))*LOG($F$3)-9*LOG($N$4)</f>
        <v>114.0087741576877</v>
      </c>
      <c r="L15" s="13">
        <f>32.4+20*LOG($G15/1000)+20*LOG($F$3)-16.9-10*LOG($L$3)+10*LOG($F$3)+20*LOG($L$4-D27)+IF($L$5&lt;55,IF($L$5&lt;35,-10+0.354*$L$5,2.5+0.0075*($L$5-35)),4-0.114*($L$5-35))+IF(L13&lt;$L$4,0,-18*(1+L13-$L$4))+IF(L13&gt;$L$4,54,IF($C$5&gt;500,54-0.8*(L13-$L$4),54-0.8*(L13-$L$4)*$C$5/500))+IF(L13&gt;$L$4,18,18-15*(L13-$L$4)/($L$4-D27))*LOG($C$5/1000)+(-4+0.7*($F$3/925-1))*LOG($F$3)-9*LOG($N$4)</f>
        <v>78.008774157687697</v>
      </c>
      <c r="M15" s="6">
        <f>32.4+20*LOG($G15/1000)+20*LOG($F$3)-16.9-10*LOG($L$3)+10*LOG($F$3)+20*LOG($L$4-D27)+IF($L$5&lt;55,IF($L$5&lt;35,-10+0.354*$L$5,2.5+0.0075*($L$5-35)),4-0.114*($L$5-35))+IF(M13&lt;$L$4,0,-18*(1+M13-$L$4))+IF(M13&gt;$L$4,54,IF($C$5&gt;500,54-0.8*(M13-$L$4),54-0.8*(M13-$L$4)*$C$5/500))+IF(M13&gt;$L$4,18,18-15*(M13-$L$4)/($L$4-D27))*LOG($C$5/1000)+(-4+0.7*($F$3/925-1))*LOG($F$3)-9*LOG($N$4)</f>
        <v>42.008774157687711</v>
      </c>
    </row>
    <row r="16" spans="1:39" ht="14.4">
      <c r="A16" s="3"/>
      <c r="B16" s="29" t="s">
        <v>59</v>
      </c>
      <c r="C16" s="45">
        <v>0</v>
      </c>
      <c r="D16" s="45">
        <f>-16.9-10*LOG($L$3)+10*LOG($F$3)+20*LOG($L$4-D27)+IF($L$5&lt;55,IF($L$5&lt;35,-10+0.354*$L$5,2.5+0.0075*($L$5-35)),4-0.114*($L$5-35))</f>
        <v>19.670348582254356</v>
      </c>
      <c r="E16" s="12" t="s">
        <v>4</v>
      </c>
      <c r="F16" s="1">
        <f>D15+D16+D17</f>
        <v>127.77787428776826</v>
      </c>
      <c r="G16" s="6" t="s">
        <v>11</v>
      </c>
      <c r="H16" s="85" t="s">
        <v>11</v>
      </c>
      <c r="I16" s="6"/>
      <c r="J16" s="6"/>
      <c r="K16" s="6"/>
      <c r="L16" s="6"/>
      <c r="M16" s="6"/>
    </row>
    <row r="17" spans="1:13" ht="13.8" thickBot="1">
      <c r="B17" s="30" t="s">
        <v>60</v>
      </c>
      <c r="C17" s="46">
        <v>0</v>
      </c>
      <c r="D17" s="46">
        <f>IF($I$4&lt;$L$4,0,-18*(1+$I$4-$L$4))+IF($I$4&gt;$L$4,54,IF($C$5&gt;500,54-0.8*($I$4-$L$4),54-0.8*($I$4-$L$4)*$C$5/500))+IF($I$4&gt;$L$4,18,18-15*($I$4-$L$4)/($L$4-D27))*LOG($C$5/1000)+(-4+0.7*($F$3/925-1))*LOG($F$3)-9*LOG($N$4)</f>
        <v>22.499703737464568</v>
      </c>
      <c r="E17" s="5" t="s">
        <v>4</v>
      </c>
      <c r="F17" s="6"/>
      <c r="G17" s="6"/>
      <c r="H17" s="6"/>
      <c r="I17" s="6"/>
      <c r="J17" s="6"/>
      <c r="K17" s="6"/>
      <c r="L17" s="6"/>
      <c r="M17" s="6"/>
    </row>
    <row r="18" spans="1:13">
      <c r="A18" s="3" t="s">
        <v>24</v>
      </c>
      <c r="B18" s="28" t="s">
        <v>2</v>
      </c>
      <c r="C18" s="39">
        <v>0</v>
      </c>
      <c r="D18" s="39">
        <v>0</v>
      </c>
      <c r="E18" s="9" t="s">
        <v>5</v>
      </c>
      <c r="F18" s="6"/>
      <c r="G18" s="6"/>
      <c r="H18" s="6"/>
      <c r="I18" s="6"/>
      <c r="J18" s="6"/>
      <c r="K18" s="6"/>
      <c r="L18" s="6"/>
      <c r="M18" s="6"/>
    </row>
    <row r="19" spans="1:13">
      <c r="B19" s="29" t="s">
        <v>8</v>
      </c>
      <c r="C19" s="42">
        <v>2</v>
      </c>
      <c r="D19" s="42">
        <v>2</v>
      </c>
      <c r="E19" s="12" t="s">
        <v>4</v>
      </c>
      <c r="F19" s="6"/>
      <c r="G19" s="6"/>
      <c r="H19" s="6"/>
      <c r="I19" s="6"/>
      <c r="J19" s="6"/>
      <c r="K19" s="6"/>
      <c r="L19" s="6"/>
      <c r="M19" s="6"/>
    </row>
    <row r="20" spans="1:13">
      <c r="A20" s="2" t="s">
        <v>11</v>
      </c>
      <c r="B20" s="29" t="s">
        <v>21</v>
      </c>
      <c r="C20" s="47">
        <f t="shared" ref="C20:D20" si="1">C12-C15-C16-C17+C18-C19</f>
        <v>-66.001641994065466</v>
      </c>
      <c r="D20" s="47">
        <f t="shared" si="1"/>
        <v>-99.777874287768256</v>
      </c>
      <c r="E20" s="12" t="s">
        <v>3</v>
      </c>
      <c r="F20" s="6"/>
      <c r="G20" s="6"/>
      <c r="H20" s="6"/>
      <c r="I20" s="6"/>
      <c r="J20" s="6"/>
      <c r="K20" s="6"/>
      <c r="L20" s="6"/>
      <c r="M20" s="6"/>
    </row>
    <row r="21" spans="1:13">
      <c r="B21" s="29" t="s">
        <v>9</v>
      </c>
      <c r="C21" s="48">
        <v>50</v>
      </c>
      <c r="D21" s="48">
        <v>50</v>
      </c>
      <c r="E21" s="12" t="s">
        <v>46</v>
      </c>
      <c r="F21" s="6"/>
      <c r="G21" s="6"/>
      <c r="H21" s="6"/>
      <c r="I21" s="6"/>
      <c r="J21" s="6"/>
      <c r="K21" s="6"/>
      <c r="L21" s="6"/>
      <c r="M21" s="6"/>
    </row>
    <row r="22" spans="1:13">
      <c r="B22" s="29" t="s">
        <v>0</v>
      </c>
      <c r="C22" s="49">
        <v>3</v>
      </c>
      <c r="D22" s="49">
        <v>3</v>
      </c>
      <c r="E22" s="12" t="s">
        <v>4</v>
      </c>
      <c r="F22" s="6"/>
      <c r="G22" s="6"/>
      <c r="H22" s="6"/>
      <c r="I22" s="6"/>
      <c r="J22" s="6"/>
      <c r="K22" s="6"/>
      <c r="L22" s="6"/>
      <c r="M22" s="6"/>
    </row>
    <row r="23" spans="1:13">
      <c r="B23" s="29" t="s">
        <v>19</v>
      </c>
      <c r="C23" s="49">
        <v>0.5</v>
      </c>
      <c r="D23" s="49">
        <v>0.5</v>
      </c>
      <c r="E23" s="12" t="s">
        <v>4</v>
      </c>
      <c r="F23" s="6"/>
      <c r="G23" s="6"/>
      <c r="H23" s="6"/>
      <c r="I23" s="6"/>
      <c r="J23" s="6"/>
      <c r="K23" s="6"/>
      <c r="L23" s="6"/>
      <c r="M23" s="6"/>
    </row>
    <row r="24" spans="1:13">
      <c r="A24" s="2" t="s">
        <v>11</v>
      </c>
      <c r="B24" s="29" t="s">
        <v>31</v>
      </c>
      <c r="C24" s="50">
        <f t="shared" ref="C24" si="2">-174+C22+10*LOG10(C21)</f>
        <v>-154.01029995663981</v>
      </c>
      <c r="D24" s="50">
        <f>-174+D22+10*LOG10(D21)</f>
        <v>-154.01029995663981</v>
      </c>
      <c r="E24" s="12" t="s">
        <v>3</v>
      </c>
      <c r="F24" s="6"/>
      <c r="G24" s="6"/>
      <c r="H24" s="6"/>
      <c r="I24" s="6"/>
      <c r="J24" s="6"/>
      <c r="K24" s="6"/>
      <c r="L24" s="6"/>
      <c r="M24" s="6"/>
    </row>
    <row r="25" spans="1:13" ht="13.8" thickBot="1">
      <c r="B25" s="30" t="s">
        <v>22</v>
      </c>
      <c r="C25" s="51">
        <f t="shared" ref="C25:D25" si="3">C20-C24-C23-10*LOG(C21*1000)</f>
        <v>40.518957919214159</v>
      </c>
      <c r="D25" s="51">
        <f t="shared" si="3"/>
        <v>6.742725625511369</v>
      </c>
      <c r="E25" s="5" t="s">
        <v>4</v>
      </c>
      <c r="F25" s="6"/>
      <c r="G25" s="6"/>
      <c r="H25" s="6"/>
      <c r="I25" s="6"/>
      <c r="J25" s="6"/>
      <c r="K25" s="6"/>
      <c r="L25" s="6"/>
      <c r="M25" s="6"/>
    </row>
    <row r="26" spans="1:13">
      <c r="A26" s="3" t="s">
        <v>27</v>
      </c>
      <c r="B26" s="28" t="s">
        <v>40</v>
      </c>
      <c r="C26" s="52">
        <f>I4</f>
        <v>4</v>
      </c>
      <c r="D26" s="52">
        <f>I4</f>
        <v>4</v>
      </c>
      <c r="E26" s="9" t="s">
        <v>42</v>
      </c>
      <c r="F26" s="6"/>
      <c r="G26" s="6"/>
      <c r="H26" s="6"/>
      <c r="I26" s="6"/>
      <c r="J26" s="6"/>
      <c r="K26" s="6"/>
      <c r="L26" s="6"/>
      <c r="M26" s="6"/>
    </row>
    <row r="27" spans="1:13">
      <c r="B27" s="29" t="s">
        <v>41</v>
      </c>
      <c r="C27" s="57">
        <f>I5</f>
        <v>1</v>
      </c>
      <c r="D27" s="57">
        <f>I5</f>
        <v>1</v>
      </c>
      <c r="E27" s="12" t="s">
        <v>42</v>
      </c>
      <c r="F27" s="6"/>
      <c r="G27" s="6"/>
      <c r="H27" s="6"/>
      <c r="I27" s="6"/>
      <c r="J27" s="6"/>
      <c r="K27" s="6"/>
      <c r="L27" s="6"/>
      <c r="M27" s="6"/>
    </row>
    <row r="28" spans="1:13">
      <c r="B28" s="29" t="s">
        <v>44</v>
      </c>
      <c r="C28" s="54">
        <v>40</v>
      </c>
      <c r="D28" s="54">
        <v>40</v>
      </c>
      <c r="E28" s="27" t="s">
        <v>38</v>
      </c>
      <c r="F28" s="6"/>
      <c r="G28" s="6"/>
      <c r="H28" s="6"/>
      <c r="I28" s="6"/>
      <c r="J28" s="6"/>
      <c r="K28" s="6"/>
      <c r="L28" s="6"/>
      <c r="M28" s="6"/>
    </row>
    <row r="29" spans="1:13">
      <c r="B29" s="29" t="s">
        <v>26</v>
      </c>
      <c r="C29" s="53" t="s">
        <v>64</v>
      </c>
      <c r="D29" s="53" t="s">
        <v>64</v>
      </c>
      <c r="E29" s="12"/>
      <c r="F29" s="6"/>
      <c r="G29" s="6"/>
      <c r="H29" s="6"/>
      <c r="I29" s="6"/>
      <c r="J29" s="6"/>
      <c r="K29" s="6"/>
      <c r="L29" s="6"/>
    </row>
    <row r="30" spans="1:13">
      <c r="B30" s="29" t="s">
        <v>28</v>
      </c>
      <c r="C30" s="55">
        <v>1</v>
      </c>
      <c r="D30" s="55">
        <v>1</v>
      </c>
      <c r="E30" s="12" t="s">
        <v>11</v>
      </c>
      <c r="F30" s="6"/>
      <c r="G30" s="6"/>
      <c r="H30" s="6"/>
      <c r="I30" s="6"/>
      <c r="J30" s="6"/>
      <c r="K30" s="6"/>
      <c r="L30" s="6"/>
    </row>
    <row r="31" spans="1:13">
      <c r="B31" s="29" t="s">
        <v>34</v>
      </c>
      <c r="C31" s="55" t="s">
        <v>35</v>
      </c>
      <c r="D31" s="55" t="s">
        <v>35</v>
      </c>
      <c r="E31" s="12"/>
      <c r="F31" s="6"/>
      <c r="G31" s="6"/>
      <c r="H31" s="6"/>
      <c r="I31" s="6"/>
      <c r="J31" s="6"/>
      <c r="K31" s="6"/>
      <c r="L31" s="6"/>
    </row>
    <row r="32" spans="1:13" ht="13.8" thickBot="1">
      <c r="B32" s="30" t="s">
        <v>33</v>
      </c>
      <c r="C32" s="56" t="s">
        <v>35</v>
      </c>
      <c r="D32" s="56" t="s">
        <v>35</v>
      </c>
      <c r="E32" s="5"/>
      <c r="F32" s="6"/>
      <c r="G32" s="6"/>
      <c r="H32" s="6"/>
      <c r="I32" s="6"/>
      <c r="J32" s="6"/>
      <c r="K32" s="6"/>
      <c r="L32" s="6"/>
    </row>
    <row r="33" spans="1:39">
      <c r="A33" s="3" t="s">
        <v>30</v>
      </c>
      <c r="B33" s="28" t="s">
        <v>29</v>
      </c>
      <c r="C33" s="20">
        <v>1</v>
      </c>
      <c r="D33" s="20">
        <v>1</v>
      </c>
      <c r="E33" s="9" t="s">
        <v>4</v>
      </c>
      <c r="F33" s="6"/>
      <c r="G33" s="6"/>
      <c r="H33" s="6"/>
      <c r="I33" s="6"/>
      <c r="J33" s="6"/>
      <c r="K33" s="6"/>
      <c r="L33" s="6"/>
    </row>
    <row r="34" spans="1:39">
      <c r="B34" s="29" t="s">
        <v>49</v>
      </c>
      <c r="C34" s="84" t="s">
        <v>35</v>
      </c>
      <c r="D34" s="84" t="s">
        <v>35</v>
      </c>
      <c r="E34" s="12" t="s">
        <v>4</v>
      </c>
      <c r="F34" s="6"/>
      <c r="G34" s="6"/>
      <c r="H34" s="6"/>
      <c r="I34" s="6"/>
      <c r="J34" s="6"/>
      <c r="K34" s="6"/>
      <c r="L34" s="6"/>
    </row>
    <row r="35" spans="1:39">
      <c r="A35" t="s">
        <v>11</v>
      </c>
      <c r="B35" s="29" t="s">
        <v>43</v>
      </c>
      <c r="C35" s="22">
        <f t="shared" ref="C35" si="4">C25-C33</f>
        <v>39.518957919214159</v>
      </c>
      <c r="D35" s="22">
        <f>D25-D33</f>
        <v>5.742725625511369</v>
      </c>
      <c r="E35" s="12" t="s">
        <v>4</v>
      </c>
      <c r="F35" s="6"/>
      <c r="G35" s="6"/>
      <c r="H35" s="6"/>
      <c r="I35" s="6"/>
      <c r="J35" s="6"/>
      <c r="K35" s="6"/>
      <c r="L35" s="6"/>
    </row>
    <row r="36" spans="1:39">
      <c r="B36" s="29" t="s">
        <v>48</v>
      </c>
      <c r="C36" s="47" t="s">
        <v>35</v>
      </c>
      <c r="D36" s="47" t="s">
        <v>35</v>
      </c>
      <c r="E36" s="12" t="s">
        <v>4</v>
      </c>
      <c r="F36" s="6"/>
      <c r="G36" s="6"/>
      <c r="H36" s="6"/>
      <c r="I36" s="6"/>
      <c r="J36" s="6"/>
      <c r="K36" s="6"/>
      <c r="L36" s="6"/>
    </row>
    <row r="37" spans="1:39" ht="13.8" thickBot="1">
      <c r="A37" s="2" t="s">
        <v>11</v>
      </c>
      <c r="B37" s="105" t="s">
        <v>61</v>
      </c>
      <c r="C37" s="14" t="s">
        <v>11</v>
      </c>
      <c r="D37" s="14" t="s">
        <v>11</v>
      </c>
      <c r="E37" s="13" t="s">
        <v>11</v>
      </c>
      <c r="F37" s="6"/>
      <c r="G37" s="6"/>
      <c r="H37" s="6"/>
      <c r="I37" s="6"/>
      <c r="J37" s="6"/>
      <c r="K37" s="6"/>
      <c r="L37" s="6"/>
      <c r="N37" s="6"/>
    </row>
    <row r="38" spans="1:39">
      <c r="A38" t="s">
        <v>11</v>
      </c>
      <c r="B38" s="6"/>
      <c r="C38" s="1" t="s">
        <v>11</v>
      </c>
      <c r="D38" s="6"/>
      <c r="E38" s="6"/>
      <c r="F38" s="6" t="s">
        <v>11</v>
      </c>
      <c r="G38" s="6"/>
      <c r="H38" s="6"/>
      <c r="I38" s="6"/>
      <c r="J38" s="6"/>
      <c r="K38" s="6"/>
      <c r="L38" s="6"/>
      <c r="N38" s="6"/>
      <c r="O38" s="6"/>
      <c r="P38" s="6"/>
      <c r="Q38" s="6"/>
      <c r="R38" s="6"/>
      <c r="S38" s="6"/>
    </row>
    <row r="39" spans="1:39">
      <c r="B39" s="6"/>
      <c r="C39" s="6"/>
      <c r="D39" s="6" t="s">
        <v>11</v>
      </c>
      <c r="E39" s="6"/>
      <c r="F39" s="6"/>
      <c r="G39" s="6"/>
      <c r="H39" s="6"/>
      <c r="J39" s="6"/>
      <c r="K39" s="6"/>
    </row>
    <row r="40" spans="1:39">
      <c r="B40" s="6"/>
      <c r="C40" s="4"/>
      <c r="D40" t="s">
        <v>73</v>
      </c>
      <c r="Y40" s="6" t="s">
        <v>11</v>
      </c>
      <c r="Z40" s="6" t="s">
        <v>11</v>
      </c>
      <c r="AA40" s="6" t="s">
        <v>16</v>
      </c>
      <c r="AB40" s="6"/>
    </row>
    <row r="41" spans="1:39">
      <c r="B41" s="6"/>
      <c r="C41" s="4"/>
      <c r="Y41" s="6" t="s">
        <v>11</v>
      </c>
      <c r="Z41" s="6" t="s">
        <v>11</v>
      </c>
      <c r="AA41" s="6" t="s">
        <v>11</v>
      </c>
      <c r="AB41" s="6"/>
    </row>
    <row r="42" spans="1:39">
      <c r="B42" s="6"/>
      <c r="C42" s="26"/>
      <c r="D42" t="s">
        <v>74</v>
      </c>
      <c r="Y42" s="6" t="s">
        <v>11</v>
      </c>
      <c r="Z42" s="6" t="s">
        <v>11</v>
      </c>
      <c r="AA42" s="6"/>
      <c r="AB42" s="6"/>
    </row>
    <row r="43" spans="1:39">
      <c r="B43" s="6"/>
      <c r="C43" s="6"/>
      <c r="D43" t="s">
        <v>75</v>
      </c>
      <c r="Y43" s="6" t="s">
        <v>11</v>
      </c>
      <c r="Z43" s="6"/>
      <c r="AA43" s="6"/>
      <c r="AB43" s="6"/>
    </row>
    <row r="44" spans="1:39">
      <c r="B44" s="6"/>
      <c r="C44" s="6"/>
      <c r="E44" t="s">
        <v>76</v>
      </c>
      <c r="N44" s="6"/>
      <c r="O44" s="6"/>
      <c r="P44" s="6" t="s">
        <v>11</v>
      </c>
      <c r="Q44" s="6"/>
      <c r="R44" s="6"/>
      <c r="S44" s="6" t="s">
        <v>11</v>
      </c>
      <c r="T44" s="6"/>
      <c r="U44" s="6"/>
      <c r="V44" s="6"/>
      <c r="W44" s="6" t="s">
        <v>11</v>
      </c>
      <c r="X44" s="6"/>
      <c r="Y44" s="11" t="s">
        <v>11</v>
      </c>
      <c r="Z44" s="11" t="s">
        <v>11</v>
      </c>
      <c r="AA44" s="11" t="s">
        <v>11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>
      <c r="B45" s="6"/>
      <c r="C45" s="19"/>
      <c r="D45" t="s">
        <v>77</v>
      </c>
      <c r="N45" s="6"/>
      <c r="O45" s="6" t="s">
        <v>11</v>
      </c>
      <c r="P45" s="6"/>
      <c r="Q45" s="6"/>
      <c r="R45" s="6"/>
      <c r="S45" s="6" t="s">
        <v>11</v>
      </c>
      <c r="T45" s="6"/>
      <c r="U45" s="6"/>
      <c r="V45" s="6"/>
      <c r="W45" s="6" t="s">
        <v>11</v>
      </c>
      <c r="X45" s="6"/>
      <c r="Y45" s="11" t="s">
        <v>11</v>
      </c>
      <c r="Z45" s="11" t="s">
        <v>11</v>
      </c>
      <c r="AA45" s="11" t="s">
        <v>11</v>
      </c>
      <c r="AB45" s="6"/>
      <c r="AC45" s="6" t="s">
        <v>11</v>
      </c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>
      <c r="B46" s="6"/>
      <c r="C46" s="19"/>
      <c r="N46" s="6"/>
      <c r="O46" s="6"/>
      <c r="P46" s="6"/>
      <c r="Q46" s="6"/>
      <c r="R46" s="6"/>
      <c r="S46" s="6" t="s">
        <v>11</v>
      </c>
      <c r="T46" s="6"/>
      <c r="U46" s="6"/>
      <c r="V46" s="6"/>
      <c r="W46" s="6"/>
      <c r="X46" s="6"/>
      <c r="Y46" s="11" t="s">
        <v>11</v>
      </c>
      <c r="Z46" s="16" t="s">
        <v>11</v>
      </c>
      <c r="AA46" s="11" t="s">
        <v>11</v>
      </c>
      <c r="AB46" s="6"/>
      <c r="AC46" s="6" t="s">
        <v>11</v>
      </c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>
      <c r="B47" s="6"/>
      <c r="C47" s="19"/>
      <c r="N47" s="6"/>
      <c r="O47" s="6"/>
      <c r="P47" s="6"/>
      <c r="Q47" s="6"/>
      <c r="R47" s="6"/>
      <c r="S47" s="6" t="s">
        <v>11</v>
      </c>
      <c r="T47" s="6"/>
      <c r="U47" s="6"/>
      <c r="V47" s="6"/>
      <c r="W47" s="6"/>
      <c r="X47" s="6"/>
      <c r="Y47" s="11" t="s">
        <v>11</v>
      </c>
      <c r="Z47" s="17" t="s">
        <v>16</v>
      </c>
      <c r="AA47" s="11" t="s">
        <v>11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>
      <c r="B48" s="6"/>
      <c r="C48" s="19"/>
      <c r="D48" t="s">
        <v>78</v>
      </c>
      <c r="I48">
        <v>30</v>
      </c>
      <c r="K48" t="s">
        <v>79</v>
      </c>
      <c r="N48" s="6"/>
      <c r="O48" s="6"/>
      <c r="P48" s="6"/>
      <c r="Q48" s="6"/>
      <c r="R48" s="6"/>
      <c r="S48" s="11" t="s">
        <v>11</v>
      </c>
      <c r="T48" s="11"/>
      <c r="U48" s="11"/>
      <c r="V48" s="11"/>
      <c r="W48" s="11" t="s">
        <v>11</v>
      </c>
      <c r="X48" s="6"/>
      <c r="Y48" s="11" t="s">
        <v>11</v>
      </c>
      <c r="Z48" s="6"/>
      <c r="AA48" s="6"/>
      <c r="AB48" s="6"/>
      <c r="AC48" s="11" t="s">
        <v>11</v>
      </c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2:39">
      <c r="B49" s="6"/>
      <c r="C49" s="1"/>
      <c r="D49" t="s">
        <v>80</v>
      </c>
      <c r="I49">
        <v>3</v>
      </c>
      <c r="N49" s="6"/>
      <c r="O49" s="6"/>
      <c r="P49" s="6"/>
      <c r="Q49" s="6"/>
      <c r="R49" s="6"/>
      <c r="S49" s="11" t="s">
        <v>16</v>
      </c>
      <c r="T49" s="11"/>
      <c r="U49" s="11"/>
      <c r="V49" s="11"/>
      <c r="W49" s="11"/>
      <c r="X49" s="6"/>
      <c r="Y49" s="6"/>
      <c r="Z49" s="6"/>
      <c r="AA49" s="6"/>
      <c r="AB49" s="6"/>
      <c r="AC49" s="11" t="s">
        <v>11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2:39" ht="14.4">
      <c r="B50" s="6"/>
      <c r="C50" s="19"/>
      <c r="D50" t="s">
        <v>81</v>
      </c>
      <c r="I50" s="102">
        <f>80-18*LOG10(M50)+21*LOG10(M51)</f>
        <v>120.86945003522357</v>
      </c>
      <c r="L50" s="103" t="s">
        <v>82</v>
      </c>
      <c r="M50" s="103">
        <v>15</v>
      </c>
      <c r="N50" s="6"/>
      <c r="O50" s="6"/>
      <c r="P50" s="6"/>
      <c r="Q50" s="6"/>
      <c r="R50" s="6"/>
      <c r="S50" s="11" t="s">
        <v>11</v>
      </c>
      <c r="T50" s="11"/>
      <c r="U50" s="11"/>
      <c r="V50" s="11"/>
      <c r="W50" s="16" t="s">
        <v>11</v>
      </c>
      <c r="X50" s="11"/>
      <c r="Y50" s="6" t="s">
        <v>11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2:39" ht="14.4">
      <c r="B51" s="6"/>
      <c r="C51" s="1"/>
      <c r="D51" t="s">
        <v>83</v>
      </c>
      <c r="I51">
        <f>40*(1-0.004*M50)</f>
        <v>37.599999999999994</v>
      </c>
      <c r="L51" s="103" t="s">
        <v>84</v>
      </c>
      <c r="M51" s="103">
        <v>900</v>
      </c>
      <c r="N51" s="6"/>
      <c r="O51" s="6"/>
      <c r="P51" s="6"/>
      <c r="Q51" s="6"/>
      <c r="R51" s="6"/>
      <c r="S51" s="11" t="s">
        <v>11</v>
      </c>
      <c r="T51" s="11"/>
      <c r="U51" s="11"/>
      <c r="V51" s="11"/>
      <c r="W51" s="17" t="s">
        <v>11</v>
      </c>
      <c r="X51" s="6"/>
      <c r="Y51" s="11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2:39">
      <c r="B52" s="6"/>
      <c r="C52" s="6"/>
      <c r="D52" t="s">
        <v>85</v>
      </c>
      <c r="I52">
        <v>8</v>
      </c>
      <c r="N52" s="6"/>
      <c r="O52" s="6"/>
      <c r="P52" s="6"/>
      <c r="Q52" s="11" t="s">
        <v>11</v>
      </c>
      <c r="R52" s="11"/>
      <c r="S52" s="11"/>
      <c r="T52" s="11"/>
      <c r="U52" s="11" t="s">
        <v>11</v>
      </c>
      <c r="V52" s="11"/>
      <c r="W52" s="11" t="s">
        <v>11</v>
      </c>
      <c r="X52" s="11" t="s">
        <v>11</v>
      </c>
      <c r="Y52" s="11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2:39">
      <c r="B53" s="6"/>
      <c r="C53" s="6"/>
      <c r="D53" t="s">
        <v>86</v>
      </c>
      <c r="I53">
        <v>-174</v>
      </c>
      <c r="L53" t="s">
        <v>87</v>
      </c>
      <c r="M53">
        <f>I51*LOG10(I64)+I50</f>
        <v>241.2897000433602</v>
      </c>
      <c r="N53" s="6"/>
      <c r="O53" s="6"/>
      <c r="P53" s="6"/>
      <c r="Q53" s="11" t="s">
        <v>11</v>
      </c>
      <c r="R53" s="11"/>
      <c r="S53" s="11"/>
      <c r="T53" s="11"/>
      <c r="U53" s="11" t="s">
        <v>11</v>
      </c>
      <c r="V53" s="11"/>
      <c r="W53" s="6" t="s">
        <v>11</v>
      </c>
      <c r="X53" s="6" t="s">
        <v>11</v>
      </c>
      <c r="Y53" s="11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2:39">
      <c r="B54" s="6"/>
      <c r="C54" s="6"/>
      <c r="D54" t="s">
        <v>88</v>
      </c>
      <c r="I54">
        <v>7</v>
      </c>
      <c r="N54" s="6"/>
      <c r="O54" s="6"/>
      <c r="P54" s="6"/>
      <c r="Q54" s="11" t="s">
        <v>16</v>
      </c>
      <c r="R54" s="11"/>
      <c r="S54" s="11"/>
      <c r="T54" s="11"/>
      <c r="U54" s="11" t="s">
        <v>11</v>
      </c>
      <c r="V54" s="11"/>
      <c r="W54" s="6"/>
      <c r="X54" s="11" t="s">
        <v>11</v>
      </c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2:39">
      <c r="B55" s="6"/>
      <c r="C55" s="6"/>
      <c r="D55" t="s">
        <v>89</v>
      </c>
      <c r="I55">
        <v>200</v>
      </c>
      <c r="N55" s="6"/>
      <c r="O55" s="6"/>
      <c r="P55" s="6"/>
      <c r="Q55" s="6"/>
      <c r="R55" s="6"/>
      <c r="S55" s="6"/>
      <c r="T55" s="6"/>
      <c r="U55" s="6"/>
      <c r="V55" s="11"/>
      <c r="W55" s="11"/>
      <c r="X55" s="11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2:39">
      <c r="B56" s="6"/>
      <c r="C56" s="6"/>
      <c r="D56" t="s">
        <v>90</v>
      </c>
      <c r="I56">
        <v>4.5</v>
      </c>
      <c r="K56" t="s">
        <v>91</v>
      </c>
      <c r="N56" s="6"/>
      <c r="O56" s="6"/>
      <c r="P56" s="6"/>
      <c r="Q56" s="6" t="s">
        <v>11</v>
      </c>
      <c r="R56" s="6"/>
      <c r="S56" s="6"/>
      <c r="T56" s="6"/>
      <c r="U56" s="6" t="s">
        <v>11</v>
      </c>
      <c r="V56" s="11"/>
      <c r="W56" s="11"/>
      <c r="X56" s="11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2:39">
      <c r="B57" s="6"/>
      <c r="C57" s="6"/>
      <c r="D57" t="s">
        <v>92</v>
      </c>
      <c r="I57">
        <v>3</v>
      </c>
      <c r="N57" s="6"/>
      <c r="O57" s="6"/>
      <c r="P57" s="6"/>
      <c r="Q57" s="6" t="s">
        <v>16</v>
      </c>
      <c r="R57" s="6"/>
      <c r="S57" s="6"/>
      <c r="T57" s="6"/>
      <c r="U57" s="1" t="s">
        <v>11</v>
      </c>
      <c r="V57" s="11"/>
      <c r="W57" s="11"/>
      <c r="X57" s="11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2:39">
      <c r="B58" s="6"/>
      <c r="C58" s="6"/>
      <c r="D58" t="s">
        <v>93</v>
      </c>
      <c r="I58">
        <v>3</v>
      </c>
      <c r="N58" s="6"/>
      <c r="O58" s="6"/>
      <c r="P58" s="6"/>
      <c r="Q58" s="6" t="s">
        <v>11</v>
      </c>
      <c r="R58" s="6"/>
      <c r="S58" s="6"/>
      <c r="T58" s="6"/>
      <c r="U58" s="1" t="s">
        <v>11</v>
      </c>
      <c r="V58" s="6"/>
      <c r="W58" s="6" t="s">
        <v>16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2:39">
      <c r="B59" s="6"/>
      <c r="C59" s="6"/>
      <c r="N59" s="6"/>
      <c r="O59" s="6"/>
      <c r="P59" s="6"/>
      <c r="Q59" s="6" t="s">
        <v>11</v>
      </c>
      <c r="R59" s="6"/>
      <c r="S59" s="6"/>
      <c r="T59" s="6"/>
      <c r="U59" s="1" t="s">
        <v>11</v>
      </c>
      <c r="V59" s="6"/>
      <c r="W59" s="6" t="s">
        <v>11</v>
      </c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2:39">
      <c r="B60" s="6"/>
      <c r="C60" s="6"/>
      <c r="D60" t="s">
        <v>94</v>
      </c>
      <c r="I60" s="102">
        <f>I48+I49-I62</f>
        <v>-103.48970004336019</v>
      </c>
      <c r="N60" s="6"/>
      <c r="O60" s="6"/>
      <c r="P60" s="6"/>
      <c r="Q60" s="6" t="s">
        <v>11</v>
      </c>
      <c r="R60" s="6"/>
      <c r="S60" s="6"/>
      <c r="T60" s="6"/>
      <c r="U60" s="1" t="s">
        <v>11</v>
      </c>
      <c r="V60" s="6"/>
      <c r="W60" s="6" t="s">
        <v>11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2:39">
      <c r="B61" s="6"/>
      <c r="C61" s="6"/>
      <c r="N61" s="6"/>
      <c r="O61" s="6"/>
      <c r="P61" s="6"/>
      <c r="Q61" s="6" t="s">
        <v>16</v>
      </c>
      <c r="R61" s="6"/>
      <c r="S61" s="6"/>
      <c r="T61" s="6"/>
      <c r="U61" s="1" t="s">
        <v>11</v>
      </c>
      <c r="V61" s="6"/>
      <c r="W61" s="6" t="s">
        <v>11</v>
      </c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2:39">
      <c r="B62" s="6"/>
      <c r="C62" s="6"/>
      <c r="D62" t="s">
        <v>95</v>
      </c>
      <c r="I62" s="102">
        <f>I48+I49-(I53+I54+I56+I57+I58+10*LOG10(I55*1000))</f>
        <v>136.48970004336019</v>
      </c>
      <c r="N62" s="6"/>
      <c r="O62" s="6"/>
      <c r="P62" s="6"/>
      <c r="Q62" s="6" t="s">
        <v>11</v>
      </c>
      <c r="R62" s="6"/>
      <c r="S62" s="6"/>
      <c r="T62" s="6"/>
      <c r="U62" s="1" t="s">
        <v>11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2:39">
      <c r="B63" s="6"/>
      <c r="C63" s="6"/>
      <c r="N63" s="6"/>
      <c r="O63" s="6"/>
      <c r="P63" s="6"/>
      <c r="Q63" s="6" t="s">
        <v>11</v>
      </c>
      <c r="R63" s="6"/>
      <c r="S63" s="6"/>
      <c r="T63" s="6"/>
      <c r="U63" s="1" t="s">
        <v>11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2:39">
      <c r="B64" s="6"/>
      <c r="C64" s="6"/>
      <c r="D64" t="s">
        <v>96</v>
      </c>
      <c r="I64" s="104">
        <f>10^((I62-I50-I52)/I51)*1000</f>
        <v>1594.6531078829598</v>
      </c>
      <c r="N64" s="6"/>
      <c r="O64" s="6"/>
      <c r="P64" s="6"/>
      <c r="Q64" s="6" t="s">
        <v>11</v>
      </c>
      <c r="R64" s="6"/>
      <c r="S64" s="6"/>
      <c r="T64" s="6"/>
      <c r="U64" s="1" t="s">
        <v>11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2:3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2:3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1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2:3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2:3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2:3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2:3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2:3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2:3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2:3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2:3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2:3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2:3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2:37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2:37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2:37"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2:37"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>
      <c r="A88" s="2" t="s">
        <v>11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>
      <c r="D89" s="2" t="s">
        <v>11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89"/>
  <sheetViews>
    <sheetView workbookViewId="0">
      <selection activeCell="A8" sqref="A8"/>
    </sheetView>
  </sheetViews>
  <sheetFormatPr defaultRowHeight="13.2"/>
  <cols>
    <col min="1" max="1" width="13.33203125" customWidth="1"/>
    <col min="2" max="2" width="36.5546875" customWidth="1"/>
    <col min="3" max="3" width="14.109375" customWidth="1"/>
    <col min="4" max="4" width="17.33203125" customWidth="1"/>
    <col min="5" max="5" width="11.88671875" customWidth="1"/>
    <col min="6" max="6" width="11.5546875" customWidth="1"/>
    <col min="7" max="7" width="16.109375" customWidth="1"/>
    <col min="8" max="8" width="12" customWidth="1"/>
    <col min="9" max="9" width="9.6640625" customWidth="1"/>
    <col min="10" max="10" width="17.21875" customWidth="1"/>
    <col min="11" max="11" width="12" customWidth="1"/>
    <col min="12" max="15" width="9.6640625" customWidth="1"/>
    <col min="16" max="16" width="2" customWidth="1"/>
    <col min="17" max="18" width="9.6640625" customWidth="1"/>
    <col min="19" max="19" width="15" customWidth="1"/>
    <col min="20" max="22" width="13.33203125" customWidth="1"/>
    <col min="23" max="23" width="10.44140625" customWidth="1"/>
    <col min="24" max="24" width="11.5546875" customWidth="1"/>
    <col min="25" max="25" width="14.6640625" customWidth="1"/>
    <col min="26" max="26" width="10.6640625" customWidth="1"/>
    <col min="27" max="27" width="9.6640625" customWidth="1"/>
    <col min="28" max="28" width="14.6640625" customWidth="1"/>
    <col min="29" max="29" width="18.44140625" customWidth="1"/>
    <col min="32" max="32" width="19.44140625" customWidth="1"/>
  </cols>
  <sheetData>
    <row r="1" spans="1:39" ht="13.8" thickBot="1">
      <c r="A1" s="2" t="s">
        <v>11</v>
      </c>
      <c r="B1" s="7" t="s">
        <v>12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11</v>
      </c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4.4" thickTop="1" thickBot="1">
      <c r="B2" s="34" t="s">
        <v>37</v>
      </c>
      <c r="C2" s="8"/>
      <c r="D2" s="8"/>
      <c r="E2" s="24"/>
      <c r="F2" s="8"/>
      <c r="G2" s="8"/>
      <c r="H2" s="76"/>
      <c r="I2" s="76"/>
      <c r="J2" s="77" t="s">
        <v>11</v>
      </c>
      <c r="K2" s="76" t="s">
        <v>11</v>
      </c>
      <c r="L2" s="76"/>
      <c r="M2" s="76"/>
      <c r="N2" s="78"/>
      <c r="O2" s="6"/>
      <c r="P2" s="6"/>
      <c r="Q2" s="6"/>
      <c r="R2" s="6"/>
      <c r="S2" s="6"/>
      <c r="T2" s="6"/>
      <c r="U2" s="6"/>
      <c r="V2" s="6"/>
      <c r="W2" s="6"/>
      <c r="X2" s="6"/>
      <c r="Y2" s="7" t="s">
        <v>11</v>
      </c>
      <c r="Z2" s="6"/>
      <c r="AA2" s="6"/>
      <c r="AB2" s="6"/>
      <c r="AC2" s="6"/>
      <c r="AD2" s="6"/>
      <c r="AE2" s="31"/>
      <c r="AF2" s="13"/>
      <c r="AG2" s="13"/>
      <c r="AH2" s="6"/>
      <c r="AI2" s="6"/>
      <c r="AJ2" s="6"/>
      <c r="AK2" s="6"/>
      <c r="AL2" s="6"/>
      <c r="AM2" s="6"/>
    </row>
    <row r="3" spans="1:39" ht="13.8" thickTop="1">
      <c r="A3" s="3" t="s">
        <v>25</v>
      </c>
      <c r="B3" s="34" t="s">
        <v>11</v>
      </c>
      <c r="C3" s="8" t="s">
        <v>11</v>
      </c>
      <c r="D3" s="9"/>
      <c r="E3" s="72" t="s">
        <v>32</v>
      </c>
      <c r="F3" s="8">
        <v>915</v>
      </c>
      <c r="G3" s="36" t="s">
        <v>36</v>
      </c>
      <c r="H3" s="79" t="s">
        <v>11</v>
      </c>
      <c r="I3" s="80"/>
      <c r="J3" s="67" t="s">
        <v>56</v>
      </c>
      <c r="K3" s="32" t="s">
        <v>57</v>
      </c>
      <c r="L3" s="13">
        <v>30</v>
      </c>
      <c r="M3" s="81"/>
      <c r="N3" s="82" t="s">
        <v>11</v>
      </c>
      <c r="O3" s="63"/>
      <c r="P3" s="7" t="s">
        <v>11</v>
      </c>
      <c r="Q3" s="38" t="s">
        <v>11</v>
      </c>
      <c r="R3" s="31" t="s">
        <v>11</v>
      </c>
      <c r="S3" s="6" t="s">
        <v>11</v>
      </c>
      <c r="T3" s="6"/>
      <c r="U3" s="6"/>
      <c r="V3" s="6"/>
      <c r="W3" s="6"/>
      <c r="X3" s="6"/>
      <c r="Y3" s="13"/>
      <c r="Z3" s="13"/>
      <c r="AA3" s="13"/>
      <c r="AB3" s="13"/>
      <c r="AC3" s="6"/>
      <c r="AD3" s="6"/>
      <c r="AE3" s="31"/>
      <c r="AF3" s="13"/>
      <c r="AG3" s="13"/>
      <c r="AH3" s="13"/>
      <c r="AI3" s="6"/>
      <c r="AJ3" s="6"/>
      <c r="AK3" s="6"/>
      <c r="AL3" s="6"/>
      <c r="AM3" s="6"/>
    </row>
    <row r="4" spans="1:39" ht="15.6">
      <c r="B4" s="35" t="s">
        <v>11</v>
      </c>
      <c r="C4" s="13" t="s">
        <v>11</v>
      </c>
      <c r="D4" s="12" t="s">
        <v>11</v>
      </c>
      <c r="E4" s="73"/>
      <c r="F4" s="15"/>
      <c r="G4" s="37"/>
      <c r="H4" s="69" t="s">
        <v>63</v>
      </c>
      <c r="I4" s="12">
        <v>4</v>
      </c>
      <c r="J4" s="67" t="s">
        <v>55</v>
      </c>
      <c r="K4" s="32" t="s">
        <v>54</v>
      </c>
      <c r="L4" s="13">
        <v>10</v>
      </c>
      <c r="M4" s="69" t="s">
        <v>58</v>
      </c>
      <c r="N4" s="64">
        <v>60</v>
      </c>
      <c r="O4" s="6"/>
      <c r="P4" s="6"/>
      <c r="Q4" s="6"/>
      <c r="R4" s="6"/>
      <c r="S4" s="6"/>
      <c r="T4" s="6"/>
      <c r="U4" s="6"/>
      <c r="V4" s="6"/>
      <c r="W4" s="6"/>
      <c r="X4" s="6"/>
      <c r="AC4" s="6"/>
      <c r="AD4" s="6"/>
      <c r="AE4" s="13"/>
      <c r="AF4" s="13"/>
      <c r="AG4" s="13"/>
      <c r="AH4" s="13"/>
      <c r="AI4" s="6"/>
      <c r="AJ4" s="6"/>
      <c r="AK4" s="6"/>
      <c r="AL4" s="6"/>
      <c r="AM4" s="6"/>
    </row>
    <row r="5" spans="1:39" ht="16.2" thickBot="1">
      <c r="A5" s="2" t="s">
        <v>11</v>
      </c>
      <c r="B5" s="74" t="s">
        <v>17</v>
      </c>
      <c r="C5" s="83">
        <v>500</v>
      </c>
      <c r="D5" s="5" t="s">
        <v>18</v>
      </c>
      <c r="E5" s="21" t="s">
        <v>6</v>
      </c>
      <c r="F5" s="14">
        <f>3*10^8/$F$3/10^6*100</f>
        <v>32.786885245901637</v>
      </c>
      <c r="G5" s="37" t="s">
        <v>53</v>
      </c>
      <c r="H5" s="70" t="s">
        <v>62</v>
      </c>
      <c r="I5" s="5">
        <v>1</v>
      </c>
      <c r="J5" s="68" t="s">
        <v>51</v>
      </c>
      <c r="K5" s="62" t="s">
        <v>52</v>
      </c>
      <c r="L5" s="10">
        <v>54</v>
      </c>
      <c r="M5" s="23"/>
      <c r="N5" s="75" t="s">
        <v>11</v>
      </c>
      <c r="O5" s="6"/>
      <c r="P5" s="6"/>
      <c r="Q5" s="6"/>
      <c r="R5" s="6"/>
      <c r="S5" s="6"/>
      <c r="T5" s="6"/>
      <c r="U5" s="6"/>
      <c r="V5" s="6" t="s">
        <v>11</v>
      </c>
      <c r="W5" s="6"/>
      <c r="X5" s="6"/>
      <c r="AC5" s="6"/>
      <c r="AD5" s="6"/>
      <c r="AE5" s="13"/>
      <c r="AF5" s="13"/>
      <c r="AG5" s="13"/>
      <c r="AH5" s="13"/>
      <c r="AI5" s="6"/>
      <c r="AJ5" s="6"/>
      <c r="AK5" s="6"/>
      <c r="AL5" s="6"/>
      <c r="AM5" s="6"/>
    </row>
    <row r="6" spans="1:39">
      <c r="A6" s="2" t="s">
        <v>11</v>
      </c>
      <c r="B6" s="71" t="s">
        <v>11</v>
      </c>
      <c r="C6" s="18" t="s">
        <v>11</v>
      </c>
      <c r="D6" s="18" t="s">
        <v>11</v>
      </c>
      <c r="E6" s="18" t="s">
        <v>11</v>
      </c>
      <c r="F6" s="18" t="s">
        <v>11</v>
      </c>
      <c r="G6" s="18" t="s">
        <v>11</v>
      </c>
      <c r="H6" s="6"/>
      <c r="I6" s="6"/>
      <c r="J6" s="6"/>
      <c r="K6" s="6"/>
      <c r="L6" s="6"/>
      <c r="M6" s="6"/>
      <c r="N6" s="6" t="s">
        <v>11</v>
      </c>
      <c r="O6" s="6"/>
      <c r="P6" s="6"/>
      <c r="Q6" s="6"/>
      <c r="R6" s="6"/>
      <c r="S6" s="6"/>
      <c r="T6" s="6" t="s">
        <v>11</v>
      </c>
      <c r="U6" s="6"/>
      <c r="V6" s="6"/>
      <c r="W6" s="6"/>
      <c r="X6" s="6"/>
      <c r="AC6" s="6"/>
      <c r="AD6" s="6"/>
      <c r="AE6" s="13"/>
      <c r="AF6" s="13"/>
      <c r="AG6" s="13"/>
      <c r="AH6" s="13"/>
      <c r="AI6" s="6"/>
      <c r="AJ6" s="6"/>
      <c r="AK6" s="6"/>
      <c r="AL6" s="6"/>
      <c r="AM6" s="6"/>
    </row>
    <row r="7" spans="1:39" ht="13.8" thickBot="1">
      <c r="B7" s="31" t="s">
        <v>11</v>
      </c>
      <c r="C7" s="33"/>
      <c r="D7" s="13"/>
      <c r="E7" s="6"/>
      <c r="F7" s="6" t="s">
        <v>11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AC7" s="6"/>
      <c r="AD7" s="6"/>
      <c r="AE7" s="13"/>
      <c r="AF7" s="13"/>
      <c r="AG7" s="13"/>
      <c r="AH7" s="13"/>
      <c r="AI7" s="6"/>
      <c r="AJ7" s="6"/>
      <c r="AK7" s="6"/>
      <c r="AL7" s="6"/>
      <c r="AM7" s="6"/>
    </row>
    <row r="8" spans="1:39">
      <c r="A8" s="3" t="s">
        <v>15</v>
      </c>
      <c r="B8" s="28" t="s">
        <v>20</v>
      </c>
      <c r="C8" s="39">
        <v>28</v>
      </c>
      <c r="D8" s="39">
        <v>28</v>
      </c>
      <c r="E8" s="9" t="s">
        <v>3</v>
      </c>
      <c r="F8" s="6"/>
      <c r="G8" s="6"/>
      <c r="H8" s="6"/>
      <c r="I8" s="6"/>
      <c r="J8" s="6"/>
      <c r="K8" s="6"/>
      <c r="L8" s="6"/>
      <c r="M8" s="6"/>
    </row>
    <row r="9" spans="1:39">
      <c r="A9" t="s">
        <v>11</v>
      </c>
      <c r="B9" s="29" t="s">
        <v>10</v>
      </c>
      <c r="C9" s="40">
        <v>1</v>
      </c>
      <c r="D9" s="40">
        <v>1</v>
      </c>
      <c r="E9" s="12" t="s">
        <v>4</v>
      </c>
      <c r="F9" s="6"/>
      <c r="G9" s="6" t="s">
        <v>11</v>
      </c>
      <c r="H9" s="6"/>
      <c r="I9" s="6"/>
      <c r="J9" s="6"/>
      <c r="K9" s="6"/>
      <c r="L9" s="6"/>
      <c r="M9" s="6"/>
    </row>
    <row r="10" spans="1:39">
      <c r="A10" s="2" t="s">
        <v>11</v>
      </c>
      <c r="B10" s="29" t="s">
        <v>13</v>
      </c>
      <c r="C10" s="41">
        <f>C8-C9</f>
        <v>27</v>
      </c>
      <c r="D10" s="41">
        <f>D8-D9</f>
        <v>27</v>
      </c>
      <c r="E10" s="12" t="s">
        <v>3</v>
      </c>
      <c r="F10" s="6"/>
      <c r="G10" s="6"/>
      <c r="H10" s="6"/>
      <c r="I10" s="6"/>
      <c r="J10" s="6"/>
      <c r="K10" s="6"/>
      <c r="L10" s="6"/>
      <c r="M10" s="6"/>
    </row>
    <row r="11" spans="1:39">
      <c r="A11" t="s">
        <v>16</v>
      </c>
      <c r="B11" s="29" t="s">
        <v>1</v>
      </c>
      <c r="C11" s="42">
        <v>3</v>
      </c>
      <c r="D11" s="42">
        <v>3</v>
      </c>
      <c r="E11" s="12" t="s">
        <v>5</v>
      </c>
      <c r="F11" s="6"/>
      <c r="G11" s="6"/>
      <c r="H11" s="6"/>
      <c r="I11" s="6"/>
      <c r="J11" s="6"/>
      <c r="K11" s="6"/>
      <c r="L11" s="6"/>
      <c r="M11" s="6"/>
    </row>
    <row r="12" spans="1:39" ht="13.8" thickBot="1">
      <c r="A12" t="s">
        <v>11</v>
      </c>
      <c r="B12" s="30" t="s">
        <v>7</v>
      </c>
      <c r="C12" s="43">
        <f t="shared" ref="C12:D12" si="0">C10+C11</f>
        <v>30</v>
      </c>
      <c r="D12" s="43">
        <f t="shared" si="0"/>
        <v>30</v>
      </c>
      <c r="E12" s="5" t="s">
        <v>3</v>
      </c>
      <c r="F12" s="6"/>
      <c r="G12" s="6"/>
      <c r="H12" s="6" t="s">
        <v>11</v>
      </c>
      <c r="I12" s="6"/>
      <c r="J12" s="6"/>
      <c r="K12" s="6"/>
      <c r="L12" s="6"/>
      <c r="M12" s="6"/>
    </row>
    <row r="13" spans="1:39" ht="18.600000000000001" customHeight="1">
      <c r="A13" s="2" t="s">
        <v>11</v>
      </c>
      <c r="B13" s="25" t="s">
        <v>45</v>
      </c>
      <c r="C13" s="59" t="s">
        <v>50</v>
      </c>
      <c r="D13" s="58" t="s">
        <v>50</v>
      </c>
      <c r="E13" s="65"/>
      <c r="F13" s="6" t="s">
        <v>11</v>
      </c>
      <c r="G13" s="6"/>
      <c r="H13" s="6">
        <v>2.5</v>
      </c>
      <c r="I13" s="6">
        <v>5</v>
      </c>
      <c r="J13" s="6">
        <v>7.5</v>
      </c>
      <c r="K13" s="6">
        <v>10</v>
      </c>
      <c r="L13" s="6">
        <v>12.5</v>
      </c>
      <c r="M13" s="6">
        <v>15</v>
      </c>
    </row>
    <row r="14" spans="1:39" ht="18.600000000000001" customHeight="1" thickBot="1">
      <c r="B14" s="25"/>
      <c r="C14" s="60" t="s">
        <v>14</v>
      </c>
      <c r="D14" s="61" t="s">
        <v>47</v>
      </c>
      <c r="E14" s="66"/>
      <c r="F14" s="6"/>
      <c r="G14" s="13">
        <v>500</v>
      </c>
      <c r="H14" s="86">
        <f>32.4+20*LOG($G14/1000)+20*LOG($F$3)-16.9-10*LOG($L$3)+10*LOG($F$3)+20*LOG($L$4-D27)+IF($L$5&lt;55,IF($L$5&lt;35,-10+0.354*$L$5,2.5+0.0075*($L$5-35)),4-0.114*($L$5-35))+IF($I$4&lt;$L$4,0,-18*(1+$I$4-$L$4))+IF($I$4&gt;$L$4,54,IF($C$5&gt;500,54-0.8*($I$4-$L$4),54-0.8*($I$4-$L$4)*$C$5/500))+IF($I$4&gt;$L$4,18,18-15*($I$4-$L$4)/($L$4-D27))*LOG($C$5/1000)+(-4+0.7*($F$3/925-1))*LOG($F$3)-9*LOG($N$4)</f>
        <v>127.77787428776827</v>
      </c>
      <c r="I14" s="86">
        <f>32.4+20*LOG($G14/1000)+20*LOG($F$3)-16.9-10*LOG($L$3)+10*LOG($F$3)+20*LOG($L$4-D27)+IF($L$5&lt;55,IF($L$5&lt;35,-10+0.354*$L$5,2.5+0.0075*($L$5-35)),4-0.114*($L$5-35))+IF($I$4&lt;$L$4,0,-18*(1+$I$4-$L$4))+IF($I$4&gt;$L$4,54,IF($C$5&gt;500,54-0.8*($I$4-$L$4),54-0.8*($I$4-$L$4)*$C$5/500))+IF($I$4&gt;$L$4,18,18-15*($I$4-$L$4)/($L$4-D27))*LOG($C$5/1000)+(-4+0.7*($F$3/925-1))*LOG($F$3)-9*LOG($N$4)</f>
        <v>127.77787428776827</v>
      </c>
      <c r="J14" s="13">
        <f>32.4+20*LOG($G14/1000)+20*LOG($F$3)-16.9-10*LOG($L$3)+10*LOG($F$3)+20*LOG($L$4-D27)+IF($L$5&lt;55,IF($L$5&lt;35,-10+0.354*$L$5,2.5+0.0075*($L$5-35)),4-0.114*($L$5-35))+IF($I$4&lt;$L$4,0,-18*(1+$I$4-$L$4))+IF($I$4&gt;$L$4,54,IF($C$5&gt;500,54-0.8*($I$4-$L$4),54-0.8*($I$4-$L$4)*$C$5/500))+IF($I$4&gt;$L$4,18,18-15*($I$4-$L$4)/($L$4-D27))*LOG($C$5/1000)+(-4+0.7*($F$3/925-1))*LOG($F$3)-9*LOG($N$4)</f>
        <v>127.77787428776827</v>
      </c>
      <c r="K14" s="13">
        <f>32.4+20*LOG($G14/1000)+20*LOG($F$3)-16.9-10*LOG($L$3)+10*LOG($F$3)+20*LOG($L$4-D27)+IF($L$5&lt;55,IF($L$5&lt;35,-10+0.354*$L$5,2.5+0.0075*($L$5-35)),4-0.114*($L$5-35))+IF($I$4&lt;$L$4,0,-18*(1+$I$4-$L$4))+IF($I$4&gt;$L$4,54,IF($C$5&gt;500,54-0.8*($I$4-$L$4),54-0.8*($I$4-$L$4)*$C$5/500))+IF($I$4&gt;$L$4,18,18-15*($I$4-$L$4)/($L$4-D27))*LOG($C$5/1000)+(-4+0.7*($F$3/925-1))*LOG($F$3)-9*LOG($N$4)</f>
        <v>127.77787428776827</v>
      </c>
      <c r="L14" s="13">
        <f>32.4+20*LOG($G14/1000)+20*LOG($F$3)-16.9-10*LOG($L$3)+10*LOG($F$3)+20*LOG($L$4-D27)+IF($L$5&lt;55,IF($L$5&lt;35,-10+0.354*$L$5,2.5+0.0075*($L$5-35)),4-0.114*($L$5-35))+IF($I$4&lt;$L$4,0,-18*(1+$I$4-$L$4))+IF($I$4&gt;$L$4,54,IF($C$5&gt;500,54-0.8*($I$4-$L$4),54-0.8*($I$4-$L$4)*$C$5/500))+IF($I$4&gt;$L$4,18,18-15*($I$4-$L$4)/($L$4-D27))*LOG($C$5/1000)+(-4+0.7*($F$3/925-1))*LOG($F$3)-9*LOG($N$4)</f>
        <v>127.77787428776827</v>
      </c>
      <c r="M14" s="6">
        <f>32.4+20*LOG($G14/1000)+20*LOG($F$3)-16.9-10*LOG($L$3)+10*LOG($F$3)+20*LOG($L$4-D27)+IF($L$5&lt;55,IF($L$5&lt;35,-10+0.354*$L$5,2.5+0.0075*($L$5-35)),4-0.114*($L$5-35))+IF($I$4&lt;$L$4,0,-18*(1+$I$4-$L$4))+IF($I$4&gt;$L$4,54,IF($C$5&gt;500,54-0.8*($I$4-$L$4),54-0.8*($I$4-$L$4)*$C$5/500))+IF($I$4&gt;$L$4,18,18-15*($I$4-$L$4)/($L$4-D27))*LOG($C$5/1000)+(-4+0.7*($F$3/925-1))*LOG($F$3)-9*LOG($N$4)</f>
        <v>127.77787428776827</v>
      </c>
    </row>
    <row r="15" spans="1:39">
      <c r="A15" s="3" t="s">
        <v>23</v>
      </c>
      <c r="B15" s="28" t="s">
        <v>39</v>
      </c>
      <c r="C15" s="44">
        <f>42.6+26*LOG($C$5/1000)+20*LOG($F$3)</f>
        <v>94.001641994065466</v>
      </c>
      <c r="D15" s="44">
        <f>32.4+20*LOG($C$5/1000)+20*LOG($F$3)</f>
        <v>85.607821968049336</v>
      </c>
      <c r="E15" s="9" t="s">
        <v>4</v>
      </c>
      <c r="F15" s="6" t="s">
        <v>11</v>
      </c>
      <c r="G15" s="13">
        <v>1000</v>
      </c>
      <c r="H15" s="86">
        <f>32.4+20*LOG($G15/1000)+20*LOG($F$3)-16.9-10*LOG($L$3)+10*LOG($F$3)+20*LOG($L$4-D27)+IF($L$5&lt;55,IF($L$5&lt;35,-10+0.354*$L$5,2.5+0.0075*($L$5-35)),4-0.114*($L$5-35))+IF($I$4&lt;$L$4,0,-18*(1+$I$4-$L$4))+IF($I$4&gt;$L$4,54,IF($C$5&gt;500,54-0.8*($I$4-$L$4),54-0.8*($I$4-$L$4)*$C$5/500))+IF($I$4&gt;$L$4,18,18-15*($I$4-$L$4)/($L$4-D27))*LOG($C$5/1000)+(-4+0.7*($F$3/925-1))*LOG($F$3)-9*LOG($N$4)</f>
        <v>133.7984742010479</v>
      </c>
      <c r="I15" s="87">
        <f>32.4+20*LOG($G14/1000)+20*LOG($F$3)-16.9-10*LOG($L$3)+10*LOG($F$3)+20*LOG($L$4-D27)+IF($L$5&lt;55,IF($L$5&lt;35,-10+0.354*$L$5,2.5+0.0075*($L$5-35)),4-0.114*($L$5-35))+IF($I$4&lt;$L$4,0,-18*(1+$I$4-$L$4))+IF($I$4&gt;$L$4,54,IF($C$5&gt;500,54-0.8*($I$4-$L$4),54-0.8*($I$4-$L$4)*$C$5/500))+IF($I$4&gt;$L$4,18,18-15*($I$4-$L$4)/($L$4-D27))*LOG($C$5/1000)+(-4+0.7*($F$3/925-1))*LOG($F$3)-9*LOG($N$4)</f>
        <v>127.77787428776827</v>
      </c>
      <c r="J15" s="13">
        <f>32.4+20*LOG($G14/1000)+20*LOG($F$3)-16.9-10*LOG($L$3)+10*LOG($F$3)+20*LOG($L$4-D27)+IF($L$5&lt;55,IF($L$5&lt;35,-10+0.354*$L$5,2.5+0.0075*($L$5-35)),4-0.114*($L$5-35))+IF($I$4&lt;$L$4,0,-18*(1+$I$4-$L$4))+IF($I$4&gt;$L$4,54,IF($C$5&gt;500,54-0.8*($I$4-$L$4),54-0.8*($I$4-$L$4)*$C$5/500))+IF($I$4&gt;$L$4,18,18-15*($I$4-$L$4)/($L$4-D27))*LOG($C$5/1000)+(-4+0.7*($F$3/925-1))*LOG($F$3)-9*LOG($N$4)</f>
        <v>127.77787428776827</v>
      </c>
      <c r="K15" s="13">
        <f>32.4+20*LOG($G14/1000)+20*LOG($F$3)-16.9-10*LOG($L$3)+10*LOG($F$3)+20*LOG($L$4-D27)+IF($L$5&lt;55,IF($L$5&lt;35,-10+0.354*$L$5,2.5+0.0075*($L$5-35)),4-0.114*($L$5-35))+IF($I$4&lt;$L$4,0,-18*(1+$I$4-$L$4))+IF($I$4&gt;$L$4,54,IF($C$5&gt;500,54-0.8*($I$4-$L$4),54-0.8*($I$4-$L$4)*$C$5/500))+IF($I$4&gt;$L$4,18,18-15*($I$4-$L$4)/($L$4-D27))*LOG($C$5/1000)+(-4+0.7*($F$3/925-1))*LOG($F$3)-9*LOG($N$4)</f>
        <v>127.77787428776827</v>
      </c>
      <c r="L15" s="13">
        <f>32.4+20*LOG($G14/1000)+20*LOG($F$3)-16.9-10*LOG($L$3)+10*LOG($F$3)+20*LOG($L$4-D27)+IF($L$5&lt;55,IF($L$5&lt;35,-10+0.354*$L$5,2.5+0.0075*($L$5-35)),4-0.114*($L$5-35))+IF($I$4&lt;$L$4,0,-18*(1+$I$4-$L$4))+IF($I$4&gt;$L$4,54,IF($C$5&gt;500,54-0.8*($I$4-$L$4),54-0.8*($I$4-$L$4)*$C$5/500))+IF($I$4&gt;$L$4,18,18-15*($I$4-$L$4)/($L$4-D27))*LOG($C$5/1000)+(-4+0.7*($F$3/925-1))*LOG($F$3)-9*LOG($N$4)</f>
        <v>127.77787428776827</v>
      </c>
      <c r="M15" s="6">
        <f>32.4+20*LOG($G14/1000)+20*LOG($F$3)-16.9-10*LOG($L$3)+10*LOG($F$3)+20*LOG($L$4-D27)+IF($L$5&lt;55,IF($L$5&lt;35,-10+0.354*$L$5,2.5+0.0075*($L$5-35)),4-0.114*($L$5-35))+IF($I$4&lt;$L$4,0,-18*(1+$I$4-$L$4))+IF($I$4&gt;$L$4,54,IF($C$5&gt;500,54-0.8*($I$4-$L$4),54-0.8*($I$4-$L$4)*$C$5/500))+IF($I$4&gt;$L$4,18,18-15*($I$4-$L$4)/($L$4-D27))*LOG($C$5/1000)+(-4+0.7*($F$3/925-1))*LOG($F$3)-9*LOG($N$4)</f>
        <v>127.77787428776827</v>
      </c>
    </row>
    <row r="16" spans="1:39" ht="14.4">
      <c r="A16" s="3"/>
      <c r="B16" s="29" t="s">
        <v>59</v>
      </c>
      <c r="C16" s="45">
        <v>0</v>
      </c>
      <c r="D16" s="45">
        <f>-16.9-10*LOG($L$3)+10*LOG($F$3)+20*LOG($L$4-D27)+IF($L$5&lt;55,IF($L$5&lt;35,-10+0.354*$L$5,2.5+0.0075*($L$5-35)),4-0.114*($L$5-35))</f>
        <v>19.670348582254356</v>
      </c>
      <c r="E16" s="12" t="s">
        <v>4</v>
      </c>
      <c r="F16" s="1">
        <f>D15+D16+D17</f>
        <v>127.77787428776826</v>
      </c>
      <c r="G16" s="6" t="s">
        <v>11</v>
      </c>
      <c r="H16" s="85" t="s">
        <v>11</v>
      </c>
      <c r="I16" s="6"/>
      <c r="J16" s="6"/>
      <c r="K16" s="6"/>
      <c r="L16" s="6"/>
      <c r="M16" s="6"/>
    </row>
    <row r="17" spans="1:13" ht="13.8" thickBot="1">
      <c r="B17" s="30" t="s">
        <v>60</v>
      </c>
      <c r="C17" s="46">
        <v>0</v>
      </c>
      <c r="D17" s="46">
        <f>IF($I$4&lt;$L$4,0,-18*(1+$I$4-$L$4))+IF($I$4&gt;$L$4,54,IF($C$5&gt;500,54-0.8*($I$4-$L$4),54-0.8*($I$4-$L$4)*$C$5/500))+IF($I$4&gt;$L$4,18,18-15*($I$4-$L$4)/($L$4-D27))*LOG($C$5/1000)+(-4+0.7*($F$3/925-1))*LOG($F$3)-9*LOG($N$4)</f>
        <v>22.499703737464568</v>
      </c>
      <c r="E17" s="5" t="s">
        <v>4</v>
      </c>
      <c r="F17" s="6"/>
      <c r="G17" s="6"/>
      <c r="H17" s="6"/>
      <c r="I17" s="6"/>
      <c r="J17" s="6"/>
      <c r="K17" s="6"/>
      <c r="L17" s="6"/>
      <c r="M17" s="6"/>
    </row>
    <row r="18" spans="1:13">
      <c r="A18" s="3" t="s">
        <v>24</v>
      </c>
      <c r="B18" s="28" t="s">
        <v>2</v>
      </c>
      <c r="C18" s="39">
        <v>0</v>
      </c>
      <c r="D18" s="39">
        <v>0</v>
      </c>
      <c r="E18" s="9" t="s">
        <v>5</v>
      </c>
      <c r="F18" s="6"/>
      <c r="G18" s="6"/>
      <c r="H18" s="6"/>
      <c r="I18" s="6"/>
      <c r="J18" s="6"/>
      <c r="K18" s="6"/>
      <c r="L18" s="6"/>
      <c r="M18" s="6"/>
    </row>
    <row r="19" spans="1:13">
      <c r="B19" s="29" t="s">
        <v>8</v>
      </c>
      <c r="C19" s="42">
        <v>2</v>
      </c>
      <c r="D19" s="42">
        <v>2</v>
      </c>
      <c r="E19" s="12" t="s">
        <v>4</v>
      </c>
      <c r="F19" s="6"/>
      <c r="G19" s="6"/>
      <c r="H19" s="6"/>
      <c r="I19" s="6"/>
      <c r="J19" s="6"/>
      <c r="K19" s="6"/>
      <c r="L19" s="6"/>
      <c r="M19" s="6"/>
    </row>
    <row r="20" spans="1:13">
      <c r="A20" s="2" t="s">
        <v>11</v>
      </c>
      <c r="B20" s="29" t="s">
        <v>21</v>
      </c>
      <c r="C20" s="47">
        <f t="shared" ref="C20:D20" si="1">C12-C15-C16-C17+C18-C19</f>
        <v>-66.001641994065466</v>
      </c>
      <c r="D20" s="47">
        <f t="shared" si="1"/>
        <v>-99.777874287768256</v>
      </c>
      <c r="E20" s="12" t="s">
        <v>3</v>
      </c>
      <c r="F20" s="6"/>
      <c r="G20" s="6"/>
      <c r="H20" s="6"/>
      <c r="I20" s="6"/>
      <c r="J20" s="6"/>
      <c r="K20" s="6"/>
      <c r="L20" s="6"/>
      <c r="M20" s="6"/>
    </row>
    <row r="21" spans="1:13">
      <c r="B21" s="29" t="s">
        <v>9</v>
      </c>
      <c r="C21" s="48">
        <v>50</v>
      </c>
      <c r="D21" s="48">
        <v>50</v>
      </c>
      <c r="E21" s="12" t="s">
        <v>46</v>
      </c>
      <c r="F21" s="6"/>
      <c r="G21" s="6"/>
      <c r="H21" s="6"/>
      <c r="I21" s="6"/>
      <c r="J21" s="6"/>
      <c r="K21" s="6"/>
      <c r="L21" s="6"/>
      <c r="M21" s="6"/>
    </row>
    <row r="22" spans="1:13">
      <c r="B22" s="29" t="s">
        <v>0</v>
      </c>
      <c r="C22" s="49">
        <v>3</v>
      </c>
      <c r="D22" s="49">
        <v>3</v>
      </c>
      <c r="E22" s="12" t="s">
        <v>4</v>
      </c>
      <c r="F22" s="6"/>
      <c r="G22" s="6"/>
      <c r="H22" s="6"/>
      <c r="I22" s="6"/>
      <c r="J22" s="6"/>
      <c r="K22" s="6"/>
      <c r="L22" s="6"/>
      <c r="M22" s="6"/>
    </row>
    <row r="23" spans="1:13">
      <c r="B23" s="29" t="s">
        <v>19</v>
      </c>
      <c r="C23" s="49">
        <v>0.5</v>
      </c>
      <c r="D23" s="49">
        <v>0.5</v>
      </c>
      <c r="E23" s="12" t="s">
        <v>4</v>
      </c>
      <c r="F23" s="6"/>
      <c r="G23" s="6"/>
      <c r="H23" s="6"/>
      <c r="I23" s="6"/>
      <c r="J23" s="6"/>
      <c r="K23" s="6"/>
      <c r="L23" s="6"/>
      <c r="M23" s="6"/>
    </row>
    <row r="24" spans="1:13">
      <c r="A24" s="2" t="s">
        <v>11</v>
      </c>
      <c r="B24" s="29" t="s">
        <v>31</v>
      </c>
      <c r="C24" s="50">
        <f t="shared" ref="C24" si="2">-174+C22+10*LOG10(C21)</f>
        <v>-154.01029995663981</v>
      </c>
      <c r="D24" s="50">
        <f>-174+D22+10*LOG10(D21)</f>
        <v>-154.01029995663981</v>
      </c>
      <c r="E24" s="12" t="s">
        <v>3</v>
      </c>
      <c r="F24" s="6"/>
      <c r="G24" s="6"/>
      <c r="H24" s="6"/>
      <c r="I24" s="6"/>
      <c r="J24" s="6"/>
      <c r="K24" s="6"/>
      <c r="L24" s="6"/>
      <c r="M24" s="6"/>
    </row>
    <row r="25" spans="1:13" ht="13.8" thickBot="1">
      <c r="B25" s="30" t="s">
        <v>22</v>
      </c>
      <c r="C25" s="51">
        <f t="shared" ref="C25:D25" si="3">C20-C24-C23-10*LOG(C21*1000)</f>
        <v>40.518957919214159</v>
      </c>
      <c r="D25" s="51">
        <f t="shared" si="3"/>
        <v>6.742725625511369</v>
      </c>
      <c r="E25" s="5" t="s">
        <v>4</v>
      </c>
      <c r="F25" s="6"/>
      <c r="G25" s="6"/>
      <c r="H25" s="6"/>
      <c r="I25" s="6"/>
      <c r="J25" s="6"/>
      <c r="K25" s="6"/>
      <c r="L25" s="6"/>
      <c r="M25" s="6"/>
    </row>
    <row r="26" spans="1:13">
      <c r="A26" s="3" t="s">
        <v>27</v>
      </c>
      <c r="B26" s="28" t="s">
        <v>40</v>
      </c>
      <c r="C26" s="52">
        <f>I4</f>
        <v>4</v>
      </c>
      <c r="D26" s="52">
        <f>I4</f>
        <v>4</v>
      </c>
      <c r="E26" s="9" t="s">
        <v>42</v>
      </c>
      <c r="F26" s="6"/>
      <c r="G26" s="6"/>
      <c r="H26" s="6"/>
      <c r="I26" s="6"/>
      <c r="J26" s="6"/>
      <c r="K26" s="6"/>
      <c r="L26" s="6"/>
      <c r="M26" s="6"/>
    </row>
    <row r="27" spans="1:13">
      <c r="B27" s="29" t="s">
        <v>41</v>
      </c>
      <c r="C27" s="57">
        <f>I5</f>
        <v>1</v>
      </c>
      <c r="D27" s="57">
        <f>I5</f>
        <v>1</v>
      </c>
      <c r="E27" s="12" t="s">
        <v>42</v>
      </c>
      <c r="F27" s="6"/>
      <c r="G27" s="6"/>
      <c r="H27" s="6"/>
      <c r="I27" s="6"/>
      <c r="J27" s="6"/>
      <c r="K27" s="6"/>
      <c r="L27" s="6"/>
      <c r="M27" s="6"/>
    </row>
    <row r="28" spans="1:13">
      <c r="B28" s="29" t="s">
        <v>44</v>
      </c>
      <c r="C28" s="54">
        <v>40</v>
      </c>
      <c r="D28" s="54">
        <v>40</v>
      </c>
      <c r="E28" s="27" t="s">
        <v>38</v>
      </c>
      <c r="F28" s="6"/>
      <c r="G28" s="6"/>
      <c r="H28" s="6"/>
      <c r="I28" s="6"/>
      <c r="J28" s="6"/>
      <c r="K28" s="6"/>
      <c r="L28" s="6"/>
      <c r="M28" s="6"/>
    </row>
    <row r="29" spans="1:13">
      <c r="B29" s="29" t="s">
        <v>26</v>
      </c>
      <c r="C29" s="53" t="s">
        <v>64</v>
      </c>
      <c r="D29" s="53" t="s">
        <v>64</v>
      </c>
      <c r="E29" s="12"/>
      <c r="F29" s="6"/>
      <c r="G29" s="6"/>
      <c r="H29" s="6"/>
      <c r="I29" s="6"/>
      <c r="J29" s="6"/>
      <c r="K29" s="6"/>
      <c r="L29" s="6"/>
    </row>
    <row r="30" spans="1:13">
      <c r="B30" s="29" t="s">
        <v>28</v>
      </c>
      <c r="C30" s="55">
        <v>1</v>
      </c>
      <c r="D30" s="55">
        <v>1</v>
      </c>
      <c r="E30" s="12" t="s">
        <v>11</v>
      </c>
      <c r="F30" s="6"/>
      <c r="G30" s="6"/>
      <c r="H30" s="6"/>
      <c r="I30" s="6"/>
      <c r="J30" s="6"/>
      <c r="K30" s="6"/>
      <c r="L30" s="6"/>
    </row>
    <row r="31" spans="1:13">
      <c r="B31" s="29" t="s">
        <v>34</v>
      </c>
      <c r="C31" s="55" t="s">
        <v>35</v>
      </c>
      <c r="D31" s="55" t="s">
        <v>35</v>
      </c>
      <c r="E31" s="12"/>
      <c r="F31" s="6"/>
      <c r="G31" s="6"/>
      <c r="H31" s="6"/>
      <c r="I31" s="6"/>
      <c r="J31" s="6"/>
      <c r="K31" s="6"/>
      <c r="L31" s="6"/>
    </row>
    <row r="32" spans="1:13" ht="13.8" thickBot="1">
      <c r="B32" s="30" t="s">
        <v>33</v>
      </c>
      <c r="C32" s="56" t="s">
        <v>35</v>
      </c>
      <c r="D32" s="56" t="s">
        <v>35</v>
      </c>
      <c r="E32" s="5"/>
      <c r="F32" s="6"/>
      <c r="G32" s="6"/>
      <c r="H32" s="6"/>
      <c r="I32" s="6"/>
      <c r="J32" s="6"/>
      <c r="K32" s="6"/>
      <c r="L32" s="6"/>
    </row>
    <row r="33" spans="1:39">
      <c r="A33" s="3" t="s">
        <v>30</v>
      </c>
      <c r="B33" s="28" t="s">
        <v>29</v>
      </c>
      <c r="C33" s="20">
        <v>1</v>
      </c>
      <c r="D33" s="20">
        <v>1</v>
      </c>
      <c r="E33" s="9" t="s">
        <v>4</v>
      </c>
      <c r="F33" s="6"/>
      <c r="G33" s="6"/>
      <c r="H33" s="6"/>
      <c r="I33" s="6"/>
      <c r="J33" s="6"/>
      <c r="K33" s="6"/>
      <c r="L33" s="6"/>
    </row>
    <row r="34" spans="1:39">
      <c r="B34" s="29" t="s">
        <v>49</v>
      </c>
      <c r="C34" s="84" t="s">
        <v>35</v>
      </c>
      <c r="D34" s="84" t="s">
        <v>35</v>
      </c>
      <c r="E34" s="12" t="s">
        <v>4</v>
      </c>
      <c r="F34" s="6"/>
      <c r="G34" s="6"/>
      <c r="H34" s="6"/>
      <c r="I34" s="6"/>
      <c r="J34" s="6"/>
      <c r="K34" s="6"/>
      <c r="L34" s="6"/>
    </row>
    <row r="35" spans="1:39">
      <c r="A35" t="s">
        <v>11</v>
      </c>
      <c r="B35" s="29" t="s">
        <v>43</v>
      </c>
      <c r="C35" s="22">
        <f t="shared" ref="C35" si="4">C25-C33</f>
        <v>39.518957919214159</v>
      </c>
      <c r="D35" s="22">
        <f>D25-D33</f>
        <v>5.742725625511369</v>
      </c>
      <c r="E35" s="12" t="s">
        <v>4</v>
      </c>
      <c r="F35" s="6"/>
      <c r="G35" s="6"/>
      <c r="H35" s="6"/>
      <c r="I35" s="6"/>
      <c r="J35" s="6"/>
      <c r="K35" s="6"/>
      <c r="L35" s="6"/>
    </row>
    <row r="36" spans="1:39">
      <c r="B36" s="29" t="s">
        <v>48</v>
      </c>
      <c r="C36" s="47" t="s">
        <v>35</v>
      </c>
      <c r="D36" s="47" t="s">
        <v>35</v>
      </c>
      <c r="E36" s="12" t="s">
        <v>4</v>
      </c>
      <c r="F36" s="6"/>
      <c r="G36" s="6"/>
      <c r="H36" s="6"/>
      <c r="I36" s="6"/>
      <c r="J36" s="6"/>
      <c r="K36" s="6"/>
      <c r="L36" s="6"/>
    </row>
    <row r="37" spans="1:39" ht="13.8" thickBot="1">
      <c r="A37" s="2" t="s">
        <v>11</v>
      </c>
      <c r="B37" s="30" t="s">
        <v>61</v>
      </c>
      <c r="C37" s="43" t="e">
        <f t="shared" ref="C37:D37" si="5">C20-C33-C36+C34</f>
        <v>#VALUE!</v>
      </c>
      <c r="D37" s="43" t="e">
        <f t="shared" si="5"/>
        <v>#VALUE!</v>
      </c>
      <c r="E37" s="5" t="s">
        <v>4</v>
      </c>
      <c r="F37" s="6"/>
      <c r="G37" s="6"/>
      <c r="H37" s="6"/>
      <c r="I37" s="6"/>
      <c r="J37" s="6"/>
      <c r="K37" s="6"/>
      <c r="L37" s="6"/>
      <c r="N37" s="6"/>
    </row>
    <row r="38" spans="1:39">
      <c r="A38" t="s">
        <v>11</v>
      </c>
      <c r="B38" s="6"/>
      <c r="C38" s="1" t="s">
        <v>11</v>
      </c>
      <c r="D38" s="6"/>
      <c r="E38" s="6"/>
      <c r="F38" s="6" t="s">
        <v>11</v>
      </c>
      <c r="G38" s="6"/>
      <c r="H38" s="6"/>
      <c r="I38" s="6"/>
      <c r="J38" s="6"/>
      <c r="K38" s="6"/>
      <c r="L38" s="6"/>
      <c r="N38" s="6"/>
      <c r="O38" s="6"/>
      <c r="P38" s="6"/>
      <c r="Q38" s="6"/>
      <c r="R38" s="6"/>
      <c r="S38" s="6"/>
    </row>
    <row r="39" spans="1:39">
      <c r="B39" s="6"/>
      <c r="C39" s="6"/>
      <c r="D39" s="6" t="s">
        <v>11</v>
      </c>
      <c r="E39" s="6"/>
      <c r="F39" s="6"/>
      <c r="G39" s="6"/>
      <c r="H39" s="6"/>
      <c r="J39" s="6"/>
      <c r="K39" s="6"/>
    </row>
    <row r="40" spans="1:39">
      <c r="B40" s="6"/>
      <c r="C40" s="4"/>
      <c r="D40" s="6" t="s">
        <v>11</v>
      </c>
      <c r="E40" s="6" t="s">
        <v>11</v>
      </c>
      <c r="F40" s="6"/>
      <c r="G40" s="6"/>
      <c r="H40" s="6"/>
      <c r="J40" s="6"/>
      <c r="K40" s="6"/>
      <c r="Y40" s="6" t="s">
        <v>11</v>
      </c>
      <c r="Z40" s="6" t="s">
        <v>11</v>
      </c>
      <c r="AA40" s="6" t="s">
        <v>16</v>
      </c>
      <c r="AB40" s="6"/>
    </row>
    <row r="41" spans="1:39">
      <c r="B41" s="6"/>
      <c r="C41" s="4"/>
      <c r="D41" s="6"/>
      <c r="E41" s="6"/>
      <c r="F41" s="6"/>
      <c r="G41" s="6"/>
      <c r="H41" s="6"/>
      <c r="I41" s="6"/>
      <c r="J41" s="6"/>
      <c r="K41" s="6"/>
      <c r="Y41" s="6" t="s">
        <v>11</v>
      </c>
      <c r="Z41" s="6" t="s">
        <v>11</v>
      </c>
      <c r="AA41" s="6" t="s">
        <v>11</v>
      </c>
      <c r="AB41" s="6"/>
    </row>
    <row r="42" spans="1:39">
      <c r="B42" s="6"/>
      <c r="C42" s="26"/>
      <c r="D42" s="6"/>
      <c r="E42" s="6"/>
      <c r="F42" s="6"/>
      <c r="G42" s="6"/>
      <c r="H42" s="6"/>
      <c r="I42" s="6"/>
      <c r="J42" s="6"/>
      <c r="K42" s="6"/>
      <c r="Y42" s="6" t="s">
        <v>11</v>
      </c>
      <c r="Z42" s="6" t="s">
        <v>11</v>
      </c>
      <c r="AA42" s="6"/>
      <c r="AB42" s="6"/>
    </row>
    <row r="43" spans="1:39">
      <c r="B43" s="6"/>
      <c r="C43" s="6"/>
      <c r="D43" s="6"/>
      <c r="E43" s="6"/>
      <c r="F43" s="6"/>
      <c r="G43" s="6"/>
      <c r="H43" s="6"/>
      <c r="I43" s="6"/>
      <c r="J43" s="6"/>
      <c r="K43" s="6"/>
      <c r="Y43" s="6" t="s">
        <v>11</v>
      </c>
      <c r="Z43" s="6"/>
      <c r="AA43" s="6"/>
      <c r="AB43" s="6"/>
    </row>
    <row r="44" spans="1:39">
      <c r="B44" s="6"/>
      <c r="C44" s="6"/>
      <c r="D44" s="6"/>
      <c r="E44" s="6"/>
      <c r="F44" s="6"/>
      <c r="G44" s="6"/>
      <c r="H44" s="6"/>
      <c r="I44" s="6"/>
      <c r="J44" s="6" t="s">
        <v>16</v>
      </c>
      <c r="K44" s="6"/>
      <c r="L44" s="6" t="s">
        <v>11</v>
      </c>
      <c r="M44" s="6"/>
      <c r="N44" s="6"/>
      <c r="O44" s="6"/>
      <c r="P44" s="6" t="s">
        <v>11</v>
      </c>
      <c r="Q44" s="6"/>
      <c r="R44" s="6"/>
      <c r="S44" s="6" t="s">
        <v>11</v>
      </c>
      <c r="T44" s="6"/>
      <c r="U44" s="6"/>
      <c r="V44" s="6"/>
      <c r="W44" s="6" t="s">
        <v>11</v>
      </c>
      <c r="X44" s="6"/>
      <c r="Y44" s="11" t="s">
        <v>11</v>
      </c>
      <c r="Z44" s="11" t="s">
        <v>11</v>
      </c>
      <c r="AA44" s="11" t="s">
        <v>11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>
      <c r="B45" s="6"/>
      <c r="C45" s="19"/>
      <c r="D45" s="6"/>
      <c r="E45" s="6"/>
      <c r="F45" s="6" t="s">
        <v>11</v>
      </c>
      <c r="G45" s="6"/>
      <c r="H45" s="6"/>
      <c r="I45" s="6"/>
      <c r="J45" s="6"/>
      <c r="K45" s="6"/>
      <c r="L45" s="6"/>
      <c r="M45" s="6" t="s">
        <v>11</v>
      </c>
      <c r="N45" s="6"/>
      <c r="O45" s="6" t="s">
        <v>11</v>
      </c>
      <c r="P45" s="6"/>
      <c r="Q45" s="6"/>
      <c r="R45" s="6"/>
      <c r="S45" s="6" t="s">
        <v>11</v>
      </c>
      <c r="T45" s="6"/>
      <c r="U45" s="6"/>
      <c r="V45" s="6"/>
      <c r="W45" s="6" t="s">
        <v>11</v>
      </c>
      <c r="X45" s="6"/>
      <c r="Y45" s="11" t="s">
        <v>11</v>
      </c>
      <c r="Z45" s="11" t="s">
        <v>11</v>
      </c>
      <c r="AA45" s="11" t="s">
        <v>11</v>
      </c>
      <c r="AB45" s="6"/>
      <c r="AC45" s="6" t="s">
        <v>11</v>
      </c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>
      <c r="B46" s="6"/>
      <c r="C46" s="19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 t="s">
        <v>11</v>
      </c>
      <c r="T46" s="6"/>
      <c r="U46" s="6"/>
      <c r="V46" s="6"/>
      <c r="W46" s="6"/>
      <c r="X46" s="6"/>
      <c r="Y46" s="11" t="s">
        <v>11</v>
      </c>
      <c r="Z46" s="16" t="s">
        <v>11</v>
      </c>
      <c r="AA46" s="11" t="s">
        <v>11</v>
      </c>
      <c r="AB46" s="6"/>
      <c r="AC46" s="6" t="s">
        <v>11</v>
      </c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>
      <c r="B47" s="6"/>
      <c r="C47" s="19"/>
      <c r="D47" s="6"/>
      <c r="E47" s="6"/>
      <c r="F47" s="6"/>
      <c r="G47" s="6"/>
      <c r="H47" s="6"/>
      <c r="I47" s="6"/>
      <c r="J47" s="6"/>
      <c r="K47" s="6" t="s">
        <v>16</v>
      </c>
      <c r="L47" s="6"/>
      <c r="M47" s="6"/>
      <c r="N47" s="6"/>
      <c r="O47" s="6"/>
      <c r="P47" s="6"/>
      <c r="Q47" s="6"/>
      <c r="R47" s="6"/>
      <c r="S47" s="6" t="s">
        <v>11</v>
      </c>
      <c r="T47" s="6"/>
      <c r="U47" s="6"/>
      <c r="V47" s="6"/>
      <c r="W47" s="6"/>
      <c r="X47" s="6"/>
      <c r="Y47" s="11" t="s">
        <v>11</v>
      </c>
      <c r="Z47" s="17" t="s">
        <v>16</v>
      </c>
      <c r="AA47" s="11" t="s">
        <v>11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>
      <c r="B48" s="6"/>
      <c r="C48" s="19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11" t="s">
        <v>11</v>
      </c>
      <c r="T48" s="11"/>
      <c r="U48" s="11"/>
      <c r="V48" s="11"/>
      <c r="W48" s="11" t="s">
        <v>11</v>
      </c>
      <c r="X48" s="6"/>
      <c r="Y48" s="11" t="s">
        <v>11</v>
      </c>
      <c r="Z48" s="6"/>
      <c r="AA48" s="6"/>
      <c r="AB48" s="6"/>
      <c r="AC48" s="11" t="s">
        <v>11</v>
      </c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2:39">
      <c r="B49" s="6"/>
      <c r="C49" s="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11" t="s">
        <v>16</v>
      </c>
      <c r="T49" s="11"/>
      <c r="U49" s="11"/>
      <c r="V49" s="11"/>
      <c r="W49" s="11"/>
      <c r="X49" s="6"/>
      <c r="Y49" s="6"/>
      <c r="Z49" s="6"/>
      <c r="AA49" s="6"/>
      <c r="AB49" s="6"/>
      <c r="AC49" s="11" t="s">
        <v>11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2:39">
      <c r="B50" s="6"/>
      <c r="C50" s="19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1" t="s">
        <v>11</v>
      </c>
      <c r="T50" s="11"/>
      <c r="U50" s="11"/>
      <c r="V50" s="11"/>
      <c r="W50" s="16" t="s">
        <v>11</v>
      </c>
      <c r="X50" s="11"/>
      <c r="Y50" s="6" t="s">
        <v>11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2:39">
      <c r="B51" s="6"/>
      <c r="C51" s="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11" t="s">
        <v>11</v>
      </c>
      <c r="T51" s="11"/>
      <c r="U51" s="11"/>
      <c r="V51" s="11"/>
      <c r="W51" s="17" t="s">
        <v>11</v>
      </c>
      <c r="X51" s="6"/>
      <c r="Y51" s="11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2:39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11" t="s">
        <v>11</v>
      </c>
      <c r="R52" s="11"/>
      <c r="S52" s="11"/>
      <c r="T52" s="11"/>
      <c r="U52" s="11" t="s">
        <v>11</v>
      </c>
      <c r="V52" s="11"/>
      <c r="W52" s="11" t="s">
        <v>11</v>
      </c>
      <c r="X52" s="11" t="s">
        <v>11</v>
      </c>
      <c r="Y52" s="11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2:39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11" t="s">
        <v>11</v>
      </c>
      <c r="R53" s="11"/>
      <c r="S53" s="11"/>
      <c r="T53" s="11"/>
      <c r="U53" s="11" t="s">
        <v>11</v>
      </c>
      <c r="V53" s="11"/>
      <c r="W53" s="6" t="s">
        <v>11</v>
      </c>
      <c r="X53" s="6" t="s">
        <v>11</v>
      </c>
      <c r="Y53" s="11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2:39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1" t="s">
        <v>16</v>
      </c>
      <c r="R54" s="11"/>
      <c r="S54" s="11"/>
      <c r="T54" s="11"/>
      <c r="U54" s="11" t="s">
        <v>11</v>
      </c>
      <c r="V54" s="11"/>
      <c r="W54" s="6"/>
      <c r="X54" s="11" t="s">
        <v>11</v>
      </c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2:39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11"/>
      <c r="W55" s="11"/>
      <c r="X55" s="11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2:39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 t="s">
        <v>11</v>
      </c>
      <c r="R56" s="6"/>
      <c r="S56" s="6"/>
      <c r="T56" s="6"/>
      <c r="U56" s="6" t="s">
        <v>11</v>
      </c>
      <c r="V56" s="11"/>
      <c r="W56" s="11"/>
      <c r="X56" s="11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2:39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 t="s">
        <v>16</v>
      </c>
      <c r="R57" s="6"/>
      <c r="S57" s="6"/>
      <c r="T57" s="6"/>
      <c r="U57" s="1" t="s">
        <v>11</v>
      </c>
      <c r="V57" s="11"/>
      <c r="W57" s="11"/>
      <c r="X57" s="11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2:39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 t="s">
        <v>11</v>
      </c>
      <c r="R58" s="6"/>
      <c r="S58" s="6"/>
      <c r="T58" s="6"/>
      <c r="U58" s="1" t="s">
        <v>11</v>
      </c>
      <c r="V58" s="6"/>
      <c r="W58" s="6" t="s">
        <v>16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2:39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 t="s">
        <v>11</v>
      </c>
      <c r="R59" s="6"/>
      <c r="S59" s="6"/>
      <c r="T59" s="6"/>
      <c r="U59" s="1" t="s">
        <v>11</v>
      </c>
      <c r="V59" s="6"/>
      <c r="W59" s="6" t="s">
        <v>11</v>
      </c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2:39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 t="s">
        <v>11</v>
      </c>
      <c r="R60" s="6"/>
      <c r="S60" s="6"/>
      <c r="T60" s="6"/>
      <c r="U60" s="1" t="s">
        <v>11</v>
      </c>
      <c r="V60" s="6"/>
      <c r="W60" s="6" t="s">
        <v>11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2:39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 t="s">
        <v>16</v>
      </c>
      <c r="R61" s="6"/>
      <c r="S61" s="6"/>
      <c r="T61" s="6"/>
      <c r="U61" s="1" t="s">
        <v>11</v>
      </c>
      <c r="V61" s="6"/>
      <c r="W61" s="6" t="s">
        <v>11</v>
      </c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2:39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 t="s">
        <v>11</v>
      </c>
      <c r="R62" s="6"/>
      <c r="S62" s="6"/>
      <c r="T62" s="6"/>
      <c r="U62" s="1" t="s">
        <v>11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2:39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 t="s">
        <v>11</v>
      </c>
      <c r="R63" s="6"/>
      <c r="S63" s="6"/>
      <c r="T63" s="6"/>
      <c r="U63" s="1" t="s">
        <v>11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2:39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 t="s">
        <v>11</v>
      </c>
      <c r="R64" s="6"/>
      <c r="S64" s="6"/>
      <c r="T64" s="6"/>
      <c r="U64" s="1" t="s">
        <v>11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2:3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2:3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1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2:3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2:3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2:3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2:3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2:3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2:3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2:3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2:3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2:3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2:3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2:37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2:37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2:37"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2:37"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>
      <c r="A88" s="2" t="s">
        <v>11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>
      <c r="D89" s="2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Link Budget</vt:lpstr>
      <vt:lpstr>LTE</vt:lpstr>
      <vt:lpstr>Sheet2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Wang</dc:creator>
  <cp:lastModifiedBy>JW</cp:lastModifiedBy>
  <dcterms:created xsi:type="dcterms:W3CDTF">2005-04-08T15:02:58Z</dcterms:created>
  <dcterms:modified xsi:type="dcterms:W3CDTF">2011-04-19T00:13:49Z</dcterms:modified>
</cp:coreProperties>
</file>