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395" windowWidth="25740" windowHeight="7455" activeTab="0"/>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'Comments'!$A$1:$AB$12</definedName>
  </definedNames>
  <calcPr fullCalcOnLoad="1"/>
</workbook>
</file>

<file path=xl/sharedStrings.xml><?xml version="1.0" encoding="utf-8"?>
<sst xmlns="http://schemas.openxmlformats.org/spreadsheetml/2006/main" count="364" uniqueCount="257">
  <si>
    <t>All access categories have the same CW, AIFSN values in a MCCAOP. There are some issues for this design: 
1), there is no priority for AC_VO/AC_VI in MCCAOP.
2), if there are frames from multiple access categories that need to be transmitted in a MCCAOP, e.g. AC_BE and AC_VO, and backoff selects ACBE frames to transmit in a MCCAOP, the MCCAOP owner will send Null frame after it finishes the transmission of AC_BE frames.</t>
  </si>
  <si>
    <t xml:space="preserve">It is probably not good to set QSRC[AC], QLRC[AC] to 0 at the end of MCCAOP. at the end of MCCAOP, QSRC[AC], QLRC[AC] should be resumed to the values of the former beginning of MCCAOP. </t>
  </si>
  <si>
    <t>Clarification of Mesh Data frame format. Do we still need this annex?</t>
  </si>
  <si>
    <t>Generation of proactive PREPs in proactive PREQ mechanism of HWMP. Do we still need this annex?</t>
  </si>
  <si>
    <t xml:space="preserve">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 </t>
  </si>
  <si>
    <t xml:space="preserve">4) If dot11OCBEnabled is true, the Address 3 field is set to the wildcard BSSID.  Is this a statement applicable only for a mesh? It is not clear whether dot11OCBEnabed is only applicable to non-mesh STAs or not. If it is applicable to non-mesh STAs as well, how should it be set? Please clarify the meaning and modify the text accordingly. </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</si>
  <si>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t>
  </si>
  <si>
    <t xml:space="preserve">In an MBSS, all STAs shall respond to all received probe requests meeting the above criteria. It is not clear what "the above criteria" refers to. Please modify the sentence so its meaning is clear. </t>
  </si>
  <si>
    <t>September 2010</t>
  </si>
  <si>
    <t>LB 166 Comment Resolutions</t>
  </si>
  <si>
    <t>Compilation of comments gathered through LB166.
Preliminary Topic Category and Issue Identifier are put in column M and column N of "Comments" sheet.</t>
  </si>
  <si>
    <t>General</t>
  </si>
  <si>
    <t>MAC</t>
  </si>
  <si>
    <t>M-MCCA</t>
  </si>
  <si>
    <t>RFI</t>
  </si>
  <si>
    <t>R-HWMP</t>
  </si>
  <si>
    <t>RFI</t>
  </si>
  <si>
    <t>R-MeshGate</t>
  </si>
  <si>
    <t>R-FWD</t>
  </si>
  <si>
    <t>G-General</t>
  </si>
  <si>
    <t>G-Frame</t>
  </si>
  <si>
    <t>S-Base</t>
  </si>
  <si>
    <t>Unification with base standard</t>
  </si>
  <si>
    <t>S-GroupKey</t>
  </si>
  <si>
    <t>TR</t>
  </si>
  <si>
    <t>Chu, Liwen</t>
  </si>
  <si>
    <t>9.9a.3.11.1</t>
  </si>
  <si>
    <t>9.9a.3.11.2</t>
  </si>
  <si>
    <t>9.22.2.5</t>
  </si>
  <si>
    <t>11C.7.3</t>
  </si>
  <si>
    <t>216</t>
  </si>
  <si>
    <t>CommentID</t>
  </si>
  <si>
    <t>CommenterName</t>
  </si>
  <si>
    <t>CommenterCo</t>
  </si>
  <si>
    <t>CommentType</t>
  </si>
  <si>
    <t>CType</t>
  </si>
  <si>
    <t>Subclause</t>
  </si>
  <si>
    <t>Topic</t>
  </si>
  <si>
    <t>Issue Ident.</t>
  </si>
  <si>
    <t>Asignee</t>
  </si>
  <si>
    <t>Accept_RejectDate</t>
  </si>
  <si>
    <t>ResponseStatus</t>
  </si>
  <si>
    <t>Comment</t>
  </si>
  <si>
    <t>SuggestedRemedy</t>
  </si>
  <si>
    <t>Resolution Code</t>
  </si>
  <si>
    <t xml:space="preserve">Orig Subclause </t>
  </si>
  <si>
    <t>215</t>
  </si>
  <si>
    <t>46-48</t>
  </si>
  <si>
    <t>14</t>
  </si>
  <si>
    <t>116</t>
  </si>
  <si>
    <t>36</t>
  </si>
  <si>
    <t>115</t>
  </si>
  <si>
    <t>Y.1</t>
  </si>
  <si>
    <t>310</t>
  </si>
  <si>
    <t>Y.6</t>
  </si>
  <si>
    <t>314</t>
  </si>
  <si>
    <t>29</t>
  </si>
  <si>
    <t>7.2.3.0a</t>
  </si>
  <si>
    <t>124</t>
  </si>
  <si>
    <t>177</t>
  </si>
  <si>
    <t>Sakoda, Kazuyuki</t>
  </si>
  <si>
    <t>STMicroelectronics</t>
  </si>
  <si>
    <t>Broadcom Corporation</t>
  </si>
  <si>
    <t>N</t>
  </si>
  <si>
    <t>frames --&gt; frame</t>
  </si>
  <si>
    <t>clarify.</t>
  </si>
  <si>
    <t>Add the following text "After receiving Null frame from MCCAOP owner with Duration/ID field 0, the mesh STA shall  set RAV with MCCAOP owner matching the TA of Null frame to 0."</t>
  </si>
  <si>
    <t>1), Define one AIFSN, one CWmax, one CWmin for MCCAOP access. 
2), MCCAOP owner can transmit frames from any access category after backoff timer is 0 and wireless medium is idle.</t>
  </si>
  <si>
    <t>As proposed.</t>
  </si>
  <si>
    <t>Discuss if it is still needed.</t>
  </si>
  <si>
    <t>It is not clear why only proactive PREQ mechanism has this informative text. Discuss if it is still needed, or if it is better to describe other proactive path discovery mechanisms in this annex.</t>
  </si>
  <si>
    <t>grammar: mixed singular and plural in "upon reception of a Mesh Link Metric Report frames"</t>
  </si>
  <si>
    <t>Is it "Mb/s" or "Mbit/s" according to IEEE standards for units and the SI unit system?</t>
  </si>
  <si>
    <t>The behavior of a mesh STA that is not the MCCAOP owner after receiving Null frame from MCCAOP owner is not defined.</t>
  </si>
  <si>
    <t>Do not use AutoSort when pasting multiple fields from one spreadsheet to another!!!!</t>
  </si>
  <si>
    <t>Overall Summary</t>
  </si>
  <si>
    <t>Use these lables in column M. Issue Identifierss should start with G, M, R, or S.</t>
  </si>
  <si>
    <t>G-Discovery</t>
  </si>
  <si>
    <t>G-Frame</t>
  </si>
  <si>
    <t>General Frame Format</t>
  </si>
  <si>
    <t>Unification with base standard.</t>
  </si>
  <si>
    <t>M-CC</t>
  </si>
  <si>
    <t>Congestion Control</t>
  </si>
  <si>
    <t>M-CS</t>
  </si>
  <si>
    <t>R-FWD</t>
  </si>
  <si>
    <t>Forwarding</t>
  </si>
  <si>
    <t>Frame Format</t>
  </si>
  <si>
    <t>Total</t>
  </si>
  <si>
    <t>% Closed</t>
  </si>
  <si>
    <t>Color Codes</t>
  </si>
  <si>
    <t>If non-blank, identifies a document submission brought in resolution of the comment.</t>
  </si>
  <si>
    <t>Security</t>
  </si>
  <si>
    <t>Peer Link Management</t>
  </si>
  <si>
    <t>S-PLM</t>
  </si>
  <si>
    <t>S-SAE</t>
  </si>
  <si>
    <t>Designator:</t>
  </si>
  <si>
    <t>Saved Statistics</t>
  </si>
  <si>
    <t>Revisision</t>
  </si>
  <si>
    <t>Date</t>
  </si>
  <si>
    <t>Submission</t>
  </si>
  <si>
    <t>Venue Date:</t>
  </si>
  <si>
    <t>IEEE P802.11 Wireless LANs</t>
  </si>
  <si>
    <t>Abstract:</t>
  </si>
  <si>
    <t>Subject:</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</si>
  <si>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</si>
  <si>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</si>
  <si>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</si>
  <si>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</si>
  <si>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</si>
  <si>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</si>
  <si>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</si>
  <si>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</si>
  <si>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</si>
  <si>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</si>
  <si>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</si>
  <si>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</si>
  <si>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Identifier for comments that are related to a particular issue. Issue Identifiers should start with M, S, R, or G depending on the issues Topic Category.</t>
  </si>
  <si>
    <t>Open</t>
  </si>
  <si>
    <t>Closed</t>
  </si>
  <si>
    <t>Orig Page No.</t>
  </si>
  <si>
    <t>Orig Line No.</t>
  </si>
  <si>
    <t>Statistics</t>
  </si>
  <si>
    <t>Issue IDs are used to identify groups of CIDs that are related to the same issue</t>
  </si>
  <si>
    <t>Notes / Summary of Changes</t>
  </si>
  <si>
    <t>r0</t>
  </si>
  <si>
    <t>Link Metric</t>
  </si>
  <si>
    <t>R-LM</t>
  </si>
  <si>
    <t>R-Proxy</t>
  </si>
  <si>
    <t xml:space="preserve">  RFI</t>
  </si>
  <si>
    <t xml:space="preserve">  Security</t>
  </si>
  <si>
    <t>62</t>
  </si>
  <si>
    <t>27</t>
  </si>
  <si>
    <t>64</t>
  </si>
  <si>
    <t>8</t>
  </si>
  <si>
    <t>4</t>
  </si>
  <si>
    <t>42</t>
  </si>
  <si>
    <t>11</t>
  </si>
  <si>
    <t>32</t>
  </si>
  <si>
    <t>G-Editor</t>
  </si>
  <si>
    <t>5.2.13.4</t>
  </si>
  <si>
    <t xml:space="preserve">As in comment. </t>
  </si>
  <si>
    <t>M-QoS</t>
  </si>
  <si>
    <t>QoS related issues</t>
  </si>
  <si>
    <t>11C.8</t>
  </si>
  <si>
    <t>11.1.3.2.1</t>
  </si>
  <si>
    <t>Sony Corporation</t>
  </si>
  <si>
    <t>R-MeshGate</t>
  </si>
  <si>
    <t>R-Frame</t>
  </si>
  <si>
    <t>assignee</t>
  </si>
  <si>
    <t>resolved</t>
  </si>
  <si>
    <t>remaining</t>
  </si>
  <si>
    <t>26</t>
  </si>
  <si>
    <t>Wang, Qi</t>
  </si>
  <si>
    <t>M-MCCA</t>
  </si>
  <si>
    <t>MCCA</t>
  </si>
  <si>
    <t>M-11n</t>
  </si>
  <si>
    <t>11n compatibility</t>
  </si>
  <si>
    <t>Bahr, Michael</t>
  </si>
  <si>
    <t>Instructions for editing of this spreadsheet by comment resolution subteams</t>
  </si>
  <si>
    <t>Accept</t>
  </si>
  <si>
    <t>Reject</t>
  </si>
  <si>
    <t>Counter</t>
  </si>
  <si>
    <t>Total Comments:</t>
  </si>
  <si>
    <t>Do not change any of columns A-G, R-T, or Y-AA.</t>
  </si>
  <si>
    <t>G-PICS</t>
  </si>
  <si>
    <t xml:space="preserve">  General</t>
  </si>
  <si>
    <t xml:space="preserve">  MAC</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</si>
  <si>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</si>
  <si>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</si>
  <si>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</si>
  <si>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</si>
  <si>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</si>
  <si>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</si>
  <si>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</si>
  <si>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</si>
  <si>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</si>
  <si>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</si>
  <si>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Orig Type</t>
  </si>
  <si>
    <t>Orig Clause</t>
  </si>
  <si>
    <t>Page</t>
  </si>
  <si>
    <t>Line</t>
  </si>
  <si>
    <t>T</t>
  </si>
  <si>
    <t>E</t>
  </si>
  <si>
    <t>General</t>
  </si>
  <si>
    <t>Closed by:</t>
  </si>
  <si>
    <t>Sony Corporation</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</si>
  <si>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</si>
  <si>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</si>
  <si>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</si>
  <si>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</si>
  <si>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</si>
  <si>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</si>
  <si>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</si>
  <si>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</si>
  <si>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MAC</t>
  </si>
  <si>
    <t>Defer</t>
  </si>
  <si>
    <t>G-Def</t>
  </si>
  <si>
    <t>G-Editor</t>
  </si>
  <si>
    <t>Channel Selection</t>
  </si>
  <si>
    <t>M-BS</t>
  </si>
  <si>
    <t>Beaconing and Synchronization</t>
  </si>
  <si>
    <t>M-General</t>
  </si>
  <si>
    <t>M-PM</t>
  </si>
  <si>
    <t>Power Management</t>
  </si>
  <si>
    <t>RFI</t>
  </si>
  <si>
    <t>R-HWMP</t>
  </si>
  <si>
    <t>R-General</t>
  </si>
  <si>
    <t>Full Date: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</si>
  <si>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</si>
  <si>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</si>
  <si>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</si>
  <si>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</si>
  <si>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</si>
  <si>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</si>
  <si>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</si>
  <si>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</si>
  <si>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</si>
  <si>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</si>
  <si>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</si>
  <si>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</si>
  <si>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</si>
  <si>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</si>
  <si>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</si>
  <si>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</si>
  <si>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</si>
  <si>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</si>
  <si>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</si>
  <si>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</si>
  <si>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</si>
  <si>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</si>
  <si>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</si>
  <si>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Y</t>
  </si>
  <si>
    <t>T</t>
  </si>
  <si>
    <t>General</t>
  </si>
  <si>
    <t>S-Frame</t>
  </si>
  <si>
    <t>Frame Format</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</si>
  <si>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</si>
  <si>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</si>
  <si>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</si>
  <si>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</si>
  <si>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</si>
  <si>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</si>
  <si>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Siemens AG</t>
  </si>
  <si>
    <t xml:space="preserve">The annex is still needed for the following reasoning: 
The proactive PREQ mechanism is actually two proactive PREQ mechanisms that are incremental (setting of the flag „proactive PREP“ in the proactive PREQ). The difference between the two proactive PREQ mechanisms is how they generate the proactive PREP, which is indicated with the setting of flag „proactive PREP“ in the proactive PREQ.
However, 11C.9.4.2 „Proactive PREQ mechanism“ says on page 221, lines 13-19: „If the proactive PREQ is sent with the Proactive PREP subfield set to 0, the recipient mesh STA may send a proactive PREP. A proactive PREP is necessary, for example, if the mesh STA has data to send to the root mesh STA, thus requiring the establishment of a forward path from the root mesh STA. During the time the forward path is required, the recipient mesh STA shall send a proactive PREP even if the Proactive PREP subfield is set to 0. Guidance on controlling the generation of proactive PREQs in such a case is given in Annex Y.6 (Generation of proactive PREPs in proactive PREQ mechanism of HWMP).”
Clause Y.6 describes a mechanism that does control the sending of the proactive PREP purely based on local information. There is no message exchange with the root mesh STA required. While clause Y.6 is only informative, it will guide implementers to an efficient solution to the requirement in 11C.9.4.2 „Proactive PREQ mechanism“page 221, lines 13-19 and help them to avoid solutions that have a negative impact on the performance of the mesh BSS.
Such a behaviour of temporarily switching between modes of the proactive mechanism is not known to the RANN mechanism. Therefore, we do not think that additional text for the RANN mode is currently needed in Y.6. </t>
  </si>
  <si>
    <t xml:space="preserve">The intention of the commenter is to make clear that this mechanism of detecting duplicates of 9.22.2.5 is specific to the mesh BSS and that the traditional mechanism for duplicate detection and recovery as described in 9.3.2.11 of IEEE 802.11mb D5.0 is still applicable, at least for all non-MBSS communication.
The current draft D7.0 supports the intention of the commenter:
9.22.2.5 „Detection of duplicate MSDUs/MMPDUs“ is a subclause to
9.22.2 „Frame addressing and forwarding in an MBSS“
9.22 „Mesh forwarding framework“
 and therefore restricted to mesh forwarding and to an MBSS and to mesh-specific duplicates.
The duplicate detection and recovery as described in 9.3.2.11 of IEEE 802.11mb D5.0 is based on the sequence number of the MAC header, not on the Mesh Sequence Number. This mechanism kicks in, for instance, if duplicate frames due to retransmissions occurred. The mechanism of 9.3.2.11 (11mb D5.0) is applicable for all DCF transmissions in any BSS, including the mesh BSS.
Putting these normative descriptions together, the following procedures are in the draft IEEE 802.11s D7.0:
duplicate detection of frames between the (same) transmitter and receiver based on the Sequence Number in any BSS (including MBSS) according to 9.3.2.11 (11mb D5.0)
only in an MBSS, additional duplicate detection of mesh frames at the recipient do to specifics of a mesh BSS (different transmitters) according to 9.22.2.5 (11s D7.0)
We think this is completely in line with the intention of the commenter, and therefore, no changes to the draft are needed. </t>
  </si>
  <si>
    <t>This description is not needed. A similar explanation is contained in 9.9a.3.11.1 (Access by MCCAOP owners).</t>
  </si>
  <si>
    <t xml:space="preserve">The 802.11e amendment introduces the concept of virtual collisions. 802.11-2007 integrates 802.11e. 9.9.1.5 (EDCA backoff procedure) describes "The transmission attempt collides internally with another EDCAF of an AC that has higher priority, that is, two or more EDCAFs in the same STA are granted a TXOP at the same time." Since all EDCAFs use the same AIFSN and CWmin values during an MCCAOP the MSDUs of the highest priority EDCAF receive priority over lower priority EDCAFs. </t>
  </si>
  <si>
    <t>An MCCAOP is a scheduled series of highly efficient medium access that interrupts the less efficient contention based medium access. Accordingly, an MCCAOP resets the contention situation and leads to a clean wireless medium where all contenders have equal chances to access the WM again.</t>
  </si>
  <si>
    <t>A mesh STA has to collocate with a mesh gate before it can collocate with an AP. The mesh gate allows the mesh STA to access the DS. The DS then internally connects the mesh-STA-mesh-gate device with the AP. Furthermore, APs and portals are never part of an MBSS. Only APs, portals and mesh gates connect to the DS. Through mesh gates theses devices may use the MBSS as one means of the DSM. The 802.11 standard does not define the DSM. Any medium can implement the DSM. Accordingly, a mesh BSS can serve two purposes: 1st the MBSS groups mesh STAs. 2nd the MBSS can implement a network interconnects other 802 networks. Only in the latter case mesh gates are needed. These gates are also needed when only APs are attached.</t>
  </si>
  <si>
    <t>The unit "Mb/s" for "Mega bit per second" is the right form according to IEEE Std 260.1-2004 [IEEE Standard Letter Symbols for Units of Measurement (SI Units, Customary Inch-Pound Units, and Certain Other Units)].</t>
  </si>
  <si>
    <t>The following clarifies
"11C.1 Mesh STA dependencies
...
When dot11MeshActivated is true, dot11OCBEnabled shall be false. When dot11OCBEnabled is true,
dot11MeshActivated shall be false and STA does not provide mesh facility."</t>
  </si>
  <si>
    <t>The right way of referencing this criteria can best be decided by the IEEE professional editor who is currently working on the draft and the comment is therefore  better not considered in the comment resolution process carried out by the the mesh task group.</t>
  </si>
  <si>
    <t>This editorial comment can best be dealt with by the IEEE professional editor who is currently working on the draft and the comment is therefore  better not considered in the comment resolution process carried out by the the mesh task group.</t>
  </si>
  <si>
    <t>The sponsor ballot will contain members as yet unfamiliar with the Draft and for them the informative Annex will be useful.</t>
  </si>
  <si>
    <t>doc.: IEEE 802.11-10/1036r1</t>
  </si>
  <si>
    <t>Guido R. Hiertz (Philips)</t>
  </si>
  <si>
    <t>2010-09-13</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</si>
</sst>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quot;월&quot;\ dd&quot;일&quot;"/>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yyyy\-mm\-dd;@"/>
    <numFmt numFmtId="191" formatCode="mmm\-yyyy"/>
    <numFmt numFmtId="192" formatCode="mm/dd/yy;@"/>
    <numFmt numFmtId="193" formatCode="m/d/yy;@"/>
    <numFmt numFmtId="194" formatCode="m/d/yyyy"/>
    <numFmt numFmtId="195" formatCode="mm/dd/yy"/>
    <numFmt numFmtId="196" formatCode="0_);[Red]\(0\)"/>
    <numFmt numFmtId="197" formatCode="0_ "/>
    <numFmt numFmtId="198" formatCode="&quot;Ja&quot;;&quot;Ja&quot;;&quot;Nein&quot;"/>
    <numFmt numFmtId="199" formatCode="&quot;Wahr&quot;;&quot;Wahr&quot;;&quot;Falsch&quot;"/>
    <numFmt numFmtId="200" formatCode="&quot;Ein&quot;;&quot;Ein&quot;;&quot;Aus&quot;"/>
  </numFmts>
  <fonts count="32">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4"/>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6"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5" fillId="0" borderId="0" applyNumberFormat="0" applyFill="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9" fontId="0" fillId="0" borderId="0" applyFon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8" fillId="0" borderId="0" applyNumberFormat="0" applyFill="0" applyBorder="0" applyAlignment="0" applyProtection="0"/>
    <xf numFmtId="0" fontId="29" fillId="23" borderId="9" applyNumberFormat="0" applyAlignment="0" applyProtection="0"/>
  </cellStyleXfs>
  <cellXfs count="8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0" fontId="0" fillId="0" borderId="0" xfId="0" applyAlignment="1">
      <alignment wrapText="1"/>
    </xf>
    <xf numFmtId="190" fontId="0" fillId="0" borderId="0" xfId="0" applyNumberFormat="1" applyAlignment="1">
      <alignment/>
    </xf>
    <xf numFmtId="0" fontId="4" fillId="0" borderId="0" xfId="0" applyFont="1" applyAlignment="1">
      <alignment horizontal="center"/>
    </xf>
    <xf numFmtId="190"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195" fontId="7" fillId="0" borderId="25" xfId="0" applyNumberFormat="1" applyFont="1" applyFill="1" applyBorder="1" applyAlignment="1" applyProtection="1">
      <alignment vertical="top" wrapText="1"/>
      <protection/>
    </xf>
    <xf numFmtId="195" fontId="0" fillId="0" borderId="0" xfId="0" applyNumberFormat="1" applyAlignment="1">
      <alignment vertical="top" wrapText="1"/>
    </xf>
    <xf numFmtId="0" fontId="0" fillId="0" borderId="0" xfId="0" applyNumberFormat="1" applyBorder="1" applyAlignment="1">
      <alignment/>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0" fillId="0" borderId="0" xfId="0" applyFont="1" applyAlignment="1">
      <alignment/>
    </xf>
    <xf numFmtId="0" fontId="0" fillId="0" borderId="14" xfId="0" applyNumberForma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0" fillId="0" borderId="14" xfId="0" applyFill="1" applyBorder="1" applyAlignment="1">
      <alignment horizontal="justify" vertical="top" wrapText="1"/>
    </xf>
    <xf numFmtId="14" fontId="0" fillId="0" borderId="14" xfId="0" applyNumberFormat="1" applyFont="1" applyFill="1" applyBorder="1" applyAlignment="1">
      <alignment horizontal="justify" vertical="top" wrapText="1"/>
    </xf>
    <xf numFmtId="0" fontId="0" fillId="0" borderId="14" xfId="0" applyFill="1" applyBorder="1" applyAlignment="1">
      <alignment horizontal="justify" vertical="top" wrapText="1"/>
    </xf>
    <xf numFmtId="0" fontId="1" fillId="0" borderId="0" xfId="0" applyFont="1" applyAlignment="1">
      <alignment/>
    </xf>
    <xf numFmtId="49" fontId="2" fillId="0" borderId="0" xfId="0" applyNumberFormat="1" applyFont="1" applyAlignment="1">
      <alignment/>
    </xf>
    <xf numFmtId="0" fontId="0" fillId="0" borderId="14" xfId="0" applyFill="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rmal_Comments"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2">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
      <fill>
        <patternFill>
          <bgColor indexed="43"/>
        </patternFill>
      </fill>
    </dxf>
    <dxf>
      <font>
        <color indexed="8"/>
      </font>
      <fill>
        <patternFill>
          <bgColor indexed="42"/>
        </patternFill>
      </fill>
    </dxf>
    <dxf>
      <fill>
        <patternFill>
          <bgColor rgb="FFFFFF66"/>
        </patternFill>
      </fill>
    </dxf>
    <dxf>
      <font>
        <color theme="1"/>
      </font>
      <fill>
        <patternFill>
          <bgColor rgb="FFC6EFCE"/>
        </patternFill>
      </fill>
    </dxf>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
      <fill>
        <patternFill>
          <bgColor indexed="51"/>
        </patternFill>
      </fill>
    </dxf>
    <dxf>
      <fill>
        <patternFill>
          <bgColor indexed="43"/>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9525</xdr:rowOff>
    </xdr:from>
    <xdr:to>
      <xdr:col>8</xdr:col>
      <xdr:colOff>581025</xdr:colOff>
      <xdr:row>19</xdr:row>
      <xdr:rowOff>152400</xdr:rowOff>
    </xdr:to>
    <xdr:sp>
      <xdr:nvSpPr>
        <xdr:cNvPr id="1" name="Text Box 1"/>
        <xdr:cNvSpPr txBox="1">
          <a:spLocks noChangeArrowheads="1"/>
        </xdr:cNvSpPr>
      </xdr:nvSpPr>
      <xdr:spPr>
        <a:xfrm>
          <a:off x="752475" y="2009775"/>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166 on P802.11s Draft D7.0 with resolutions.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12</xdr:row>
      <xdr:rowOff>0</xdr:rowOff>
    </xdr:from>
    <xdr:ext cx="0" cy="0"/>
    <xdr:sp>
      <xdr:nvSpPr>
        <xdr:cNvPr id="1" name="Picture 1"/>
        <xdr:cNvSpPr>
          <a:spLocks noChangeAspect="1"/>
        </xdr:cNvSpPr>
      </xdr:nvSpPr>
      <xdr:spPr>
        <a:xfrm>
          <a:off x="15954375" y="23669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0</xdr:colOff>
      <xdr:row>12</xdr:row>
      <xdr:rowOff>0</xdr:rowOff>
    </xdr:from>
    <xdr:ext cx="0" cy="0"/>
    <xdr:sp>
      <xdr:nvSpPr>
        <xdr:cNvPr id="2" name="Picture 1"/>
        <xdr:cNvSpPr>
          <a:spLocks noChangeAspect="1"/>
        </xdr:cNvSpPr>
      </xdr:nvSpPr>
      <xdr:spPr>
        <a:xfrm>
          <a:off x="15954375" y="23669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zoomScalePageLayoutView="0" workbookViewId="0" topLeftCell="A1">
      <selection activeCell="C21" sqref="C21"/>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101</v>
      </c>
    </row>
    <row r="2" ht="18.75">
      <c r="B2" s="1" t="s">
        <v>99</v>
      </c>
    </row>
    <row r="3" spans="1:2" ht="18.75">
      <c r="A3" s="2" t="s">
        <v>95</v>
      </c>
      <c r="B3" s="83" t="s">
        <v>254</v>
      </c>
    </row>
    <row r="4" spans="1:6" ht="18.75">
      <c r="A4" s="2" t="s">
        <v>100</v>
      </c>
      <c r="B4" s="10" t="s">
        <v>8</v>
      </c>
      <c r="F4" s="7"/>
    </row>
    <row r="5" spans="1:2" ht="15.75">
      <c r="A5" s="2" t="s">
        <v>104</v>
      </c>
      <c r="B5" s="84" t="s">
        <v>255</v>
      </c>
    </row>
    <row r="6" s="3" customFormat="1" ht="16.5" thickBot="1"/>
    <row r="7" spans="1:2" s="4" customFormat="1" ht="18.75">
      <c r="A7" s="4" t="s">
        <v>103</v>
      </c>
      <c r="B7" s="9" t="s">
        <v>9</v>
      </c>
    </row>
    <row r="8" spans="1:2" ht="15.75">
      <c r="A8" s="2" t="s">
        <v>207</v>
      </c>
      <c r="B8" s="84" t="s">
        <v>256</v>
      </c>
    </row>
    <row r="9" spans="3:9" ht="15.75">
      <c r="C9" s="8"/>
      <c r="D9" s="8"/>
      <c r="E9" s="8"/>
      <c r="F9" s="8"/>
      <c r="G9" s="8"/>
      <c r="H9" s="8"/>
      <c r="I9" s="8"/>
    </row>
    <row r="10" ht="15.75">
      <c r="A10" s="2" t="s">
        <v>102</v>
      </c>
    </row>
    <row r="22" spans="1:5" ht="15.75" customHeight="1">
      <c r="A22" s="6"/>
      <c r="B22" s="79"/>
      <c r="C22" s="79"/>
      <c r="D22" s="79"/>
      <c r="E22" s="79"/>
    </row>
    <row r="23" spans="1:5" ht="15.75" customHeight="1">
      <c r="A23" s="4"/>
      <c r="B23" s="5"/>
      <c r="C23" s="5"/>
      <c r="D23" s="5"/>
      <c r="E23" s="5"/>
    </row>
    <row r="24" spans="1:5" ht="15.75" customHeight="1">
      <c r="A24" s="4"/>
      <c r="B24" s="78"/>
      <c r="C24" s="78"/>
      <c r="D24" s="78"/>
      <c r="E24" s="78"/>
    </row>
    <row r="25" spans="1:5" ht="15.75" customHeight="1">
      <c r="A25" s="4"/>
      <c r="B25" s="5"/>
      <c r="C25" s="5"/>
      <c r="D25" s="5"/>
      <c r="E25" s="5"/>
    </row>
    <row r="26" spans="1:5" ht="15.75" customHeight="1">
      <c r="A26" s="4"/>
      <c r="B26" s="78"/>
      <c r="C26" s="78"/>
      <c r="D26" s="78"/>
      <c r="E26" s="78"/>
    </row>
    <row r="27" spans="2:5" ht="15.75" customHeight="1">
      <c r="B27" s="78"/>
      <c r="C27" s="78"/>
      <c r="D27" s="78"/>
      <c r="E27" s="78"/>
    </row>
    <row r="28" ht="15.75" customHeight="1"/>
    <row r="29" ht="15.75" customHeight="1"/>
    <row r="30" ht="15.75" customHeight="1"/>
  </sheetData>
  <sheetProtection/>
  <mergeCells count="3">
    <mergeCell ref="B24:E24"/>
    <mergeCell ref="B22:E22"/>
    <mergeCell ref="B26:E27"/>
  </mergeCells>
  <printOptions/>
  <pageMargins left="0.787401575" right="0.787401575" top="0.984251969" bottom="0.984251969"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AB12"/>
  <sheetViews>
    <sheetView zoomScale="90" zoomScaleNormal="90" zoomScalePageLayoutView="0" workbookViewId="0" topLeftCell="A1">
      <pane xSplit="8" ySplit="1" topLeftCell="N2" activePane="bottomRight" state="frozen"/>
      <selection pane="topLeft" activeCell="A1" sqref="A1"/>
      <selection pane="topRight" activeCell="H1" sqref="H1"/>
      <selection pane="bottomLeft" activeCell="A2" sqref="A2"/>
      <selection pane="bottomRight" activeCell="W8" sqref="W8"/>
    </sheetView>
  </sheetViews>
  <sheetFormatPr defaultColWidth="11.421875" defaultRowHeight="12.75"/>
  <cols>
    <col min="1" max="1" width="5.7109375" style="61" customWidth="1"/>
    <col min="2" max="2" width="12.57421875" style="44" customWidth="1"/>
    <col min="3" max="3" width="11.421875" style="44" hidden="1" customWidth="1"/>
    <col min="4" max="4" width="8.7109375" style="64" hidden="1" customWidth="1"/>
    <col min="5" max="5" width="8.28125" style="75" hidden="1" customWidth="1"/>
    <col min="6" max="6" width="7.00390625" style="75" hidden="1" customWidth="1"/>
    <col min="7" max="7" width="9.28125" style="44" hidden="1" customWidth="1"/>
    <col min="8" max="8" width="6.421875" style="44" customWidth="1"/>
    <col min="9" max="9" width="9.8515625" style="64" customWidth="1"/>
    <col min="10" max="10" width="6.57421875" style="68" customWidth="1"/>
    <col min="11" max="11" width="6.8515625" style="62" customWidth="1"/>
    <col min="12" max="12" width="3.8515625" style="44" customWidth="1"/>
    <col min="13" max="13" width="8.00390625" style="44" customWidth="1"/>
    <col min="14" max="14" width="10.421875" style="63" customWidth="1"/>
    <col min="15" max="15" width="9.28125" style="63" customWidth="1"/>
    <col min="16" max="16" width="12.28125" style="63" customWidth="1"/>
    <col min="17" max="17" width="11.421875" style="44" customWidth="1"/>
    <col min="18" max="18" width="8.421875" style="58" customWidth="1"/>
    <col min="19" max="19" width="10.00390625" style="65" customWidth="1"/>
    <col min="20" max="20" width="35.7109375" style="70" customWidth="1"/>
    <col min="21" max="21" width="36.28125" style="70" customWidth="1"/>
    <col min="22" max="22" width="9.8515625" style="44" customWidth="1"/>
    <col min="23" max="23" width="35.7109375" style="44" customWidth="1"/>
    <col min="24" max="24" width="11.421875" style="11" customWidth="1"/>
    <col min="25" max="25" width="9.140625" style="11" customWidth="1"/>
    <col min="26" max="26" width="42.8515625" style="11" customWidth="1"/>
    <col min="27" max="27" width="9.140625" style="11" customWidth="1"/>
    <col min="28" max="28" width="11.00390625" style="44" hidden="1" customWidth="1"/>
    <col min="29" max="16384" width="11.421875" style="11" customWidth="1"/>
  </cols>
  <sheetData>
    <row r="1" spans="1:28" s="44" customFormat="1" ht="39" thickTop="1">
      <c r="A1" s="50" t="s">
        <v>31</v>
      </c>
      <c r="B1" s="50" t="s">
        <v>32</v>
      </c>
      <c r="C1" s="50" t="s">
        <v>33</v>
      </c>
      <c r="D1" s="51" t="s">
        <v>45</v>
      </c>
      <c r="E1" s="51" t="s">
        <v>119</v>
      </c>
      <c r="F1" s="74" t="s">
        <v>120</v>
      </c>
      <c r="G1" s="52" t="s">
        <v>34</v>
      </c>
      <c r="H1" s="52" t="s">
        <v>106</v>
      </c>
      <c r="I1" s="53" t="s">
        <v>36</v>
      </c>
      <c r="J1" s="67" t="s">
        <v>179</v>
      </c>
      <c r="K1" s="56" t="s">
        <v>180</v>
      </c>
      <c r="L1" s="53" t="s">
        <v>35</v>
      </c>
      <c r="M1" s="52" t="s">
        <v>37</v>
      </c>
      <c r="N1" s="50" t="s">
        <v>38</v>
      </c>
      <c r="O1" s="50" t="s">
        <v>112</v>
      </c>
      <c r="P1" s="54" t="s">
        <v>39</v>
      </c>
      <c r="Q1" s="54" t="s">
        <v>99</v>
      </c>
      <c r="R1" s="57" t="s">
        <v>40</v>
      </c>
      <c r="S1" s="52" t="s">
        <v>41</v>
      </c>
      <c r="T1" s="52" t="s">
        <v>42</v>
      </c>
      <c r="U1" s="52" t="s">
        <v>43</v>
      </c>
      <c r="V1" s="50" t="s">
        <v>44</v>
      </c>
      <c r="W1" s="50" t="s">
        <v>108</v>
      </c>
      <c r="X1" s="55" t="s">
        <v>214</v>
      </c>
      <c r="Y1" s="54" t="s">
        <v>109</v>
      </c>
      <c r="Z1" s="54" t="s">
        <v>110</v>
      </c>
      <c r="AA1" s="54" t="s">
        <v>111</v>
      </c>
      <c r="AB1" s="50" t="s">
        <v>184</v>
      </c>
    </row>
    <row r="2" spans="1:27" ht="89.25">
      <c r="A2" s="69">
        <v>5001</v>
      </c>
      <c r="B2" s="71" t="s">
        <v>157</v>
      </c>
      <c r="C2" s="71" t="s">
        <v>242</v>
      </c>
      <c r="D2" s="72" t="s">
        <v>29</v>
      </c>
      <c r="E2" s="72" t="s">
        <v>46</v>
      </c>
      <c r="F2" s="72" t="s">
        <v>47</v>
      </c>
      <c r="G2" s="71" t="s">
        <v>182</v>
      </c>
      <c r="H2" s="71" t="s">
        <v>63</v>
      </c>
      <c r="I2" s="72" t="s">
        <v>29</v>
      </c>
      <c r="J2" s="72" t="s">
        <v>46</v>
      </c>
      <c r="K2" s="72" t="s">
        <v>47</v>
      </c>
      <c r="L2" s="71" t="s">
        <v>182</v>
      </c>
      <c r="M2" s="71" t="s">
        <v>11</v>
      </c>
      <c r="N2" s="72" t="s">
        <v>138</v>
      </c>
      <c r="O2" s="72"/>
      <c r="P2" s="72"/>
      <c r="Q2" s="72"/>
      <c r="R2" s="72"/>
      <c r="S2" s="72"/>
      <c r="T2" s="73" t="s">
        <v>71</v>
      </c>
      <c r="U2" s="73" t="s">
        <v>64</v>
      </c>
      <c r="V2" s="85" t="s">
        <v>160</v>
      </c>
      <c r="W2" s="85" t="s">
        <v>252</v>
      </c>
      <c r="X2" s="81">
        <v>40434</v>
      </c>
      <c r="Y2" s="66"/>
      <c r="Z2" s="66"/>
      <c r="AA2" s="66"/>
    </row>
    <row r="3" spans="1:27" ht="76.5">
      <c r="A3" s="69">
        <v>5002</v>
      </c>
      <c r="B3" s="71" t="s">
        <v>157</v>
      </c>
      <c r="C3" s="71" t="s">
        <v>242</v>
      </c>
      <c r="D3" s="72" t="s">
        <v>143</v>
      </c>
      <c r="E3" s="72" t="s">
        <v>30</v>
      </c>
      <c r="F3" s="72" t="s">
        <v>48</v>
      </c>
      <c r="G3" s="71" t="s">
        <v>182</v>
      </c>
      <c r="H3" s="71" t="s">
        <v>63</v>
      </c>
      <c r="I3" s="72" t="s">
        <v>143</v>
      </c>
      <c r="J3" s="72" t="s">
        <v>30</v>
      </c>
      <c r="K3" s="72" t="s">
        <v>48</v>
      </c>
      <c r="L3" s="71" t="s">
        <v>182</v>
      </c>
      <c r="M3" s="71" t="s">
        <v>11</v>
      </c>
      <c r="N3" s="72" t="s">
        <v>138</v>
      </c>
      <c r="O3" s="72"/>
      <c r="P3" s="72"/>
      <c r="Q3" s="72"/>
      <c r="R3" s="72"/>
      <c r="S3" s="72"/>
      <c r="T3" s="73" t="s">
        <v>72</v>
      </c>
      <c r="U3" s="73" t="s">
        <v>65</v>
      </c>
      <c r="V3" s="85" t="s">
        <v>160</v>
      </c>
      <c r="W3" s="85" t="s">
        <v>249</v>
      </c>
      <c r="X3" s="81">
        <v>40434</v>
      </c>
      <c r="Y3" s="66"/>
      <c r="Z3" s="66"/>
      <c r="AA3" s="66"/>
    </row>
    <row r="4" spans="1:27" ht="63.75">
      <c r="A4" s="69">
        <v>5003</v>
      </c>
      <c r="B4" s="71" t="s">
        <v>25</v>
      </c>
      <c r="C4" s="71" t="s">
        <v>61</v>
      </c>
      <c r="D4" s="72" t="s">
        <v>27</v>
      </c>
      <c r="E4" s="72" t="s">
        <v>49</v>
      </c>
      <c r="F4" s="72" t="s">
        <v>50</v>
      </c>
      <c r="G4" s="71" t="s">
        <v>181</v>
      </c>
      <c r="H4" s="71" t="s">
        <v>63</v>
      </c>
      <c r="I4" s="72" t="s">
        <v>27</v>
      </c>
      <c r="J4" s="72" t="s">
        <v>49</v>
      </c>
      <c r="K4" s="72" t="s">
        <v>50</v>
      </c>
      <c r="L4" s="71" t="s">
        <v>181</v>
      </c>
      <c r="M4" s="71" t="s">
        <v>12</v>
      </c>
      <c r="N4" s="72" t="s">
        <v>13</v>
      </c>
      <c r="O4" s="72"/>
      <c r="P4" s="72"/>
      <c r="Q4" s="72"/>
      <c r="R4" s="72"/>
      <c r="S4" s="72"/>
      <c r="T4" s="77" t="s">
        <v>73</v>
      </c>
      <c r="U4" s="77" t="s">
        <v>66</v>
      </c>
      <c r="V4" s="85" t="s">
        <v>160</v>
      </c>
      <c r="W4" s="82" t="s">
        <v>245</v>
      </c>
      <c r="X4" s="81">
        <v>40434</v>
      </c>
      <c r="Y4" s="66"/>
      <c r="Z4" s="66"/>
      <c r="AA4" s="66"/>
    </row>
    <row r="5" spans="1:27" ht="178.5">
      <c r="A5" s="69">
        <v>5004</v>
      </c>
      <c r="B5" s="71" t="s">
        <v>25</v>
      </c>
      <c r="C5" s="71" t="s">
        <v>61</v>
      </c>
      <c r="D5" s="72" t="s">
        <v>26</v>
      </c>
      <c r="E5" s="72" t="s">
        <v>51</v>
      </c>
      <c r="F5" s="72" t="s">
        <v>130</v>
      </c>
      <c r="G5" s="71" t="s">
        <v>181</v>
      </c>
      <c r="H5" s="71" t="s">
        <v>63</v>
      </c>
      <c r="I5" s="72" t="s">
        <v>26</v>
      </c>
      <c r="J5" s="72" t="s">
        <v>51</v>
      </c>
      <c r="K5" s="72" t="s">
        <v>130</v>
      </c>
      <c r="L5" s="71" t="s">
        <v>181</v>
      </c>
      <c r="M5" s="71" t="s">
        <v>12</v>
      </c>
      <c r="N5" s="72" t="s">
        <v>13</v>
      </c>
      <c r="O5" s="72"/>
      <c r="P5" s="72"/>
      <c r="Q5" s="72"/>
      <c r="R5" s="72"/>
      <c r="S5" s="72"/>
      <c r="T5" s="77" t="s">
        <v>0</v>
      </c>
      <c r="U5" s="77" t="s">
        <v>67</v>
      </c>
      <c r="V5" s="85" t="s">
        <v>160</v>
      </c>
      <c r="W5" s="82" t="s">
        <v>246</v>
      </c>
      <c r="X5" s="81">
        <v>40434</v>
      </c>
      <c r="Y5" s="66"/>
      <c r="Z5" s="66"/>
      <c r="AA5" s="66"/>
    </row>
    <row r="6" spans="1:27" ht="102">
      <c r="A6" s="69">
        <v>5005</v>
      </c>
      <c r="B6" s="71" t="s">
        <v>25</v>
      </c>
      <c r="C6" s="71" t="s">
        <v>61</v>
      </c>
      <c r="D6" s="72" t="s">
        <v>26</v>
      </c>
      <c r="E6" s="72" t="s">
        <v>49</v>
      </c>
      <c r="F6" s="72" t="s">
        <v>137</v>
      </c>
      <c r="G6" s="71" t="s">
        <v>181</v>
      </c>
      <c r="H6" s="71" t="s">
        <v>63</v>
      </c>
      <c r="I6" s="72" t="s">
        <v>26</v>
      </c>
      <c r="J6" s="72" t="s">
        <v>49</v>
      </c>
      <c r="K6" s="72" t="s">
        <v>137</v>
      </c>
      <c r="L6" s="71" t="s">
        <v>181</v>
      </c>
      <c r="M6" s="71" t="s">
        <v>12</v>
      </c>
      <c r="N6" s="72" t="s">
        <v>13</v>
      </c>
      <c r="O6" s="72"/>
      <c r="P6" s="72"/>
      <c r="Q6" s="72"/>
      <c r="R6" s="72"/>
      <c r="S6" s="72"/>
      <c r="T6" s="73" t="s">
        <v>1</v>
      </c>
      <c r="U6" s="73" t="s">
        <v>68</v>
      </c>
      <c r="V6" s="85" t="s">
        <v>160</v>
      </c>
      <c r="W6" s="82" t="s">
        <v>247</v>
      </c>
      <c r="X6" s="81">
        <v>40434</v>
      </c>
      <c r="Y6" s="66"/>
      <c r="Z6" s="66"/>
      <c r="AA6" s="66"/>
    </row>
    <row r="7" spans="1:27" ht="38.25">
      <c r="A7" s="69">
        <v>5006</v>
      </c>
      <c r="B7" s="71" t="s">
        <v>60</v>
      </c>
      <c r="C7" s="71" t="s">
        <v>185</v>
      </c>
      <c r="D7" s="72" t="s">
        <v>52</v>
      </c>
      <c r="E7" s="72" t="s">
        <v>53</v>
      </c>
      <c r="F7" s="72" t="s">
        <v>136</v>
      </c>
      <c r="G7" s="71" t="s">
        <v>182</v>
      </c>
      <c r="H7" s="71" t="s">
        <v>63</v>
      </c>
      <c r="I7" s="72" t="s">
        <v>52</v>
      </c>
      <c r="J7" s="72" t="s">
        <v>53</v>
      </c>
      <c r="K7" s="72" t="s">
        <v>136</v>
      </c>
      <c r="L7" s="71" t="s">
        <v>182</v>
      </c>
      <c r="M7" s="71" t="s">
        <v>233</v>
      </c>
      <c r="N7" s="72" t="s">
        <v>20</v>
      </c>
      <c r="O7" s="72"/>
      <c r="P7" s="72"/>
      <c r="Q7" s="72"/>
      <c r="R7" s="72"/>
      <c r="S7" s="72"/>
      <c r="T7" s="73" t="s">
        <v>2</v>
      </c>
      <c r="U7" s="73" t="s">
        <v>69</v>
      </c>
      <c r="V7" s="85" t="s">
        <v>160</v>
      </c>
      <c r="W7" s="85" t="s">
        <v>253</v>
      </c>
      <c r="X7" s="81">
        <v>40434</v>
      </c>
      <c r="Y7" s="66"/>
      <c r="Z7" s="66"/>
      <c r="AA7" s="66"/>
    </row>
    <row r="8" spans="1:27" ht="408">
      <c r="A8" s="69">
        <v>5007</v>
      </c>
      <c r="B8" s="71" t="s">
        <v>60</v>
      </c>
      <c r="C8" s="71" t="s">
        <v>145</v>
      </c>
      <c r="D8" s="72" t="s">
        <v>54</v>
      </c>
      <c r="E8" s="72" t="s">
        <v>55</v>
      </c>
      <c r="F8" s="72" t="s">
        <v>56</v>
      </c>
      <c r="G8" s="71" t="s">
        <v>182</v>
      </c>
      <c r="H8" s="71" t="s">
        <v>63</v>
      </c>
      <c r="I8" s="72" t="s">
        <v>54</v>
      </c>
      <c r="J8" s="72" t="s">
        <v>55</v>
      </c>
      <c r="K8" s="72" t="s">
        <v>56</v>
      </c>
      <c r="L8" s="71" t="s">
        <v>182</v>
      </c>
      <c r="M8" s="71" t="s">
        <v>14</v>
      </c>
      <c r="N8" s="72" t="s">
        <v>15</v>
      </c>
      <c r="O8" s="72"/>
      <c r="P8" s="72"/>
      <c r="Q8" s="72"/>
      <c r="R8" s="72"/>
      <c r="S8" s="72"/>
      <c r="T8" s="73" t="s">
        <v>3</v>
      </c>
      <c r="U8" s="73" t="s">
        <v>70</v>
      </c>
      <c r="V8" s="80" t="s">
        <v>160</v>
      </c>
      <c r="W8" s="80" t="s">
        <v>243</v>
      </c>
      <c r="X8" s="81">
        <v>40434</v>
      </c>
      <c r="Y8" s="66"/>
      <c r="Z8" s="66"/>
      <c r="AA8" s="66"/>
    </row>
    <row r="9" spans="1:27" ht="255">
      <c r="A9" s="69">
        <v>5008</v>
      </c>
      <c r="B9" s="71" t="s">
        <v>152</v>
      </c>
      <c r="C9" s="71" t="s">
        <v>62</v>
      </c>
      <c r="D9" s="72" t="s">
        <v>139</v>
      </c>
      <c r="E9" s="72" t="s">
        <v>133</v>
      </c>
      <c r="F9" s="72" t="s">
        <v>132</v>
      </c>
      <c r="G9" s="71" t="s">
        <v>24</v>
      </c>
      <c r="H9" s="71" t="s">
        <v>231</v>
      </c>
      <c r="I9" s="72" t="s">
        <v>139</v>
      </c>
      <c r="J9" s="72" t="s">
        <v>133</v>
      </c>
      <c r="K9" s="72" t="s">
        <v>132</v>
      </c>
      <c r="L9" s="71" t="s">
        <v>232</v>
      </c>
      <c r="M9" s="71" t="s">
        <v>16</v>
      </c>
      <c r="N9" s="72" t="s">
        <v>17</v>
      </c>
      <c r="O9" s="72"/>
      <c r="P9" s="72"/>
      <c r="Q9" s="72"/>
      <c r="R9" s="72"/>
      <c r="S9" s="72"/>
      <c r="T9" s="77" t="s">
        <v>4</v>
      </c>
      <c r="U9" s="73" t="s">
        <v>140</v>
      </c>
      <c r="V9" s="85" t="s">
        <v>160</v>
      </c>
      <c r="W9" s="85" t="s">
        <v>248</v>
      </c>
      <c r="X9" s="81">
        <v>40434</v>
      </c>
      <c r="Y9" s="66"/>
      <c r="Z9" s="66"/>
      <c r="AA9" s="66"/>
    </row>
    <row r="10" spans="1:27" ht="114.75">
      <c r="A10" s="69">
        <v>5009</v>
      </c>
      <c r="B10" s="71" t="s">
        <v>152</v>
      </c>
      <c r="C10" s="71" t="s">
        <v>62</v>
      </c>
      <c r="D10" s="72" t="s">
        <v>57</v>
      </c>
      <c r="E10" s="72" t="s">
        <v>151</v>
      </c>
      <c r="F10" s="72" t="s">
        <v>134</v>
      </c>
      <c r="G10" s="71" t="s">
        <v>24</v>
      </c>
      <c r="H10" s="71" t="s">
        <v>231</v>
      </c>
      <c r="I10" s="72" t="s">
        <v>57</v>
      </c>
      <c r="J10" s="72" t="s">
        <v>151</v>
      </c>
      <c r="K10" s="72" t="s">
        <v>134</v>
      </c>
      <c r="L10" s="71" t="s">
        <v>232</v>
      </c>
      <c r="M10" s="71" t="s">
        <v>233</v>
      </c>
      <c r="N10" s="72" t="s">
        <v>20</v>
      </c>
      <c r="O10" s="72"/>
      <c r="P10" s="72"/>
      <c r="Q10" s="72"/>
      <c r="R10" s="72"/>
      <c r="S10" s="72"/>
      <c r="T10" s="77" t="s">
        <v>5</v>
      </c>
      <c r="U10" s="73" t="s">
        <v>140</v>
      </c>
      <c r="V10" s="85" t="s">
        <v>160</v>
      </c>
      <c r="W10" s="85" t="s">
        <v>250</v>
      </c>
      <c r="X10" s="81">
        <v>40434</v>
      </c>
      <c r="Y10" s="66"/>
      <c r="Z10" s="66"/>
      <c r="AA10" s="66"/>
    </row>
    <row r="11" spans="1:27" ht="409.5">
      <c r="A11" s="69">
        <v>5010</v>
      </c>
      <c r="B11" s="71" t="s">
        <v>152</v>
      </c>
      <c r="C11" s="71" t="s">
        <v>62</v>
      </c>
      <c r="D11" s="72" t="s">
        <v>28</v>
      </c>
      <c r="E11" s="72" t="s">
        <v>58</v>
      </c>
      <c r="F11" s="72" t="s">
        <v>135</v>
      </c>
      <c r="G11" s="71" t="s">
        <v>24</v>
      </c>
      <c r="H11" s="71" t="s">
        <v>231</v>
      </c>
      <c r="I11" s="72" t="s">
        <v>28</v>
      </c>
      <c r="J11" s="72" t="s">
        <v>58</v>
      </c>
      <c r="K11" s="72" t="s">
        <v>135</v>
      </c>
      <c r="L11" s="71" t="s">
        <v>232</v>
      </c>
      <c r="M11" s="71" t="s">
        <v>16</v>
      </c>
      <c r="N11" s="72" t="s">
        <v>18</v>
      </c>
      <c r="O11" s="72"/>
      <c r="P11" s="72"/>
      <c r="Q11" s="72"/>
      <c r="R11" s="72"/>
      <c r="S11" s="72"/>
      <c r="T11" s="77" t="s">
        <v>6</v>
      </c>
      <c r="U11" s="73" t="s">
        <v>140</v>
      </c>
      <c r="V11" s="80" t="s">
        <v>160</v>
      </c>
      <c r="W11" s="80" t="s">
        <v>244</v>
      </c>
      <c r="X11" s="81">
        <v>40434</v>
      </c>
      <c r="Y11" s="66"/>
      <c r="Z11" s="66"/>
      <c r="AA11" s="66"/>
    </row>
    <row r="12" spans="1:27" ht="89.25">
      <c r="A12" s="69">
        <v>5011</v>
      </c>
      <c r="B12" s="71" t="s">
        <v>152</v>
      </c>
      <c r="C12" s="71" t="s">
        <v>62</v>
      </c>
      <c r="D12" s="72" t="s">
        <v>144</v>
      </c>
      <c r="E12" s="72" t="s">
        <v>59</v>
      </c>
      <c r="F12" s="72" t="s">
        <v>131</v>
      </c>
      <c r="G12" s="71" t="s">
        <v>24</v>
      </c>
      <c r="H12" s="71" t="s">
        <v>231</v>
      </c>
      <c r="I12" s="72" t="s">
        <v>144</v>
      </c>
      <c r="J12" s="72" t="s">
        <v>59</v>
      </c>
      <c r="K12" s="72" t="s">
        <v>131</v>
      </c>
      <c r="L12" s="71" t="s">
        <v>232</v>
      </c>
      <c r="M12" s="71" t="s">
        <v>233</v>
      </c>
      <c r="N12" s="72" t="s">
        <v>19</v>
      </c>
      <c r="O12" s="72"/>
      <c r="P12" s="72"/>
      <c r="Q12" s="72"/>
      <c r="R12" s="72"/>
      <c r="S12" s="72"/>
      <c r="T12" s="73" t="s">
        <v>7</v>
      </c>
      <c r="U12" s="73" t="s">
        <v>140</v>
      </c>
      <c r="V12" s="85" t="s">
        <v>160</v>
      </c>
      <c r="W12" s="85" t="s">
        <v>251</v>
      </c>
      <c r="X12" s="81">
        <v>40434</v>
      </c>
      <c r="Y12" s="66"/>
      <c r="Z12" s="66"/>
      <c r="AA12" s="66"/>
    </row>
  </sheetData>
  <sheetProtection/>
  <autoFilter ref="A1:AB12"/>
  <conditionalFormatting sqref="X1:AB1">
    <cfRule type="expression" priority="1" dxfId="12" stopIfTrue="1">
      <formula>AND($S1="Closed",$Y1="Done")</formula>
    </cfRule>
    <cfRule type="expression" priority="2" dxfId="11" stopIfTrue="1">
      <formula>$S1="Closed"</formula>
    </cfRule>
  </conditionalFormatting>
  <conditionalFormatting sqref="A1:W1">
    <cfRule type="expression" priority="5" dxfId="10" stopIfTrue="1">
      <formula>AND($S1="Closed",$Z1="Done")</formula>
    </cfRule>
    <cfRule type="expression" priority="6" dxfId="1" stopIfTrue="1">
      <formula>$S1="Closed"</formula>
    </cfRule>
  </conditionalFormatting>
  <conditionalFormatting sqref="A2:AA12">
    <cfRule type="expression" priority="7" dxfId="2" stopIfTrue="1">
      <formula>AND($S2="Closed",$Y2="Done")</formula>
    </cfRule>
    <cfRule type="expression" priority="8" dxfId="1" stopIfTrue="1">
      <formula>$S2="Closed"</formula>
    </cfRule>
    <cfRule type="expression" priority="9" dxfId="0"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zoomScalePageLayoutView="0" workbookViewId="0" topLeftCell="A1">
      <selection activeCell="K8" sqref="K8"/>
    </sheetView>
  </sheetViews>
  <sheetFormatPr defaultColWidth="11.42187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s>
  <sheetData>
    <row r="1" s="42" customFormat="1" ht="23.25">
      <c r="A1" s="42" t="s">
        <v>122</v>
      </c>
    </row>
    <row r="3" spans="1:9" s="43" customFormat="1" ht="18">
      <c r="A3" s="43" t="s">
        <v>183</v>
      </c>
      <c r="D3" s="60" t="s">
        <v>169</v>
      </c>
      <c r="E3" s="60" t="s">
        <v>170</v>
      </c>
      <c r="F3" s="60" t="s">
        <v>190</v>
      </c>
      <c r="G3" s="43" t="s">
        <v>148</v>
      </c>
      <c r="H3" s="43" t="s">
        <v>149</v>
      </c>
      <c r="I3" s="43" t="s">
        <v>150</v>
      </c>
    </row>
    <row r="4" spans="2:9" ht="12.75">
      <c r="B4" t="s">
        <v>168</v>
      </c>
      <c r="C4" t="s">
        <v>80</v>
      </c>
      <c r="D4">
        <f>COUNTIF(Comments!$N$2:$N$12,B4)</f>
        <v>0</v>
      </c>
      <c r="E4" s="59">
        <f>SUMPRODUCT((Comments!$N$2:$N$12=B4)*(Comments!$S$2:$S$12="Closed"))</f>
        <v>0</v>
      </c>
      <c r="F4">
        <f aca="true" t="shared" si="0" ref="F4:F12">D4-E4</f>
        <v>0</v>
      </c>
      <c r="H4" s="59">
        <f>SUMPRODUCT((Comments!$N$2:$N$12=B4)*(Comments!$V$2:$V$12="Accept"))+SUMPRODUCT((Comments!$N$2:$N$12=B4)*(Comments!$V$2:$V$12="Counter"))+SUMPRODUCT((Comments!$N$2:$N$12=B4)*(Comments!$V$2:$V$12="Reject"))</f>
        <v>0</v>
      </c>
      <c r="I4" s="76">
        <f aca="true" t="shared" si="1" ref="I4:I12">D4-H4</f>
        <v>0</v>
      </c>
    </row>
    <row r="5" spans="2:9" ht="12.75">
      <c r="B5" t="s">
        <v>196</v>
      </c>
      <c r="C5" t="s">
        <v>240</v>
      </c>
      <c r="D5">
        <f>COUNTIF(Comments!$N$2:$N$12,B5)</f>
        <v>0</v>
      </c>
      <c r="E5" s="59">
        <f>SUMPRODUCT((Comments!$N$2:$N$12=B5)*(Comments!$S$2:$S$12="Closed"))</f>
        <v>0</v>
      </c>
      <c r="F5">
        <f t="shared" si="0"/>
        <v>0</v>
      </c>
      <c r="H5" s="59">
        <f>SUMPRODUCT((Comments!$N$2:$N$12=B5)*(Comments!$V$2:$V$12="Accept"))+SUMPRODUCT((Comments!$N$2:$N$12=B5)*(Comments!$V$2:$V$12="Counter"))+SUMPRODUCT((Comments!$N$2:$N$12=B5)*(Comments!$V$2:$V$12="Reject"))</f>
        <v>0</v>
      </c>
      <c r="I5" s="76">
        <f t="shared" si="1"/>
        <v>0</v>
      </c>
    </row>
    <row r="6" spans="2:9" ht="12.75">
      <c r="B6" t="s">
        <v>77</v>
      </c>
      <c r="D6">
        <f>COUNTIF(Comments!$N$2:$N$12,B6)</f>
        <v>0</v>
      </c>
      <c r="E6" s="59">
        <f>SUMPRODUCT((Comments!$N$2:$N$12=B6)*(Comments!$S$2:$S$12="Closed"))</f>
        <v>0</v>
      </c>
      <c r="F6">
        <f t="shared" si="0"/>
        <v>0</v>
      </c>
      <c r="H6" s="59">
        <f>SUMPRODUCT((Comments!$N$2:$N$12=B6)*(Comments!$V$2:$V$12="Accept"))+SUMPRODUCT((Comments!$N$2:$N$12=B6)*(Comments!$V$2:$V$12="Counter"))+SUMPRODUCT((Comments!$N$2:$N$12=B6)*(Comments!$V$2:$V$12="Reject"))</f>
        <v>0</v>
      </c>
      <c r="I6" s="76">
        <f t="shared" si="1"/>
        <v>0</v>
      </c>
    </row>
    <row r="7" spans="2:9" ht="12.75">
      <c r="B7" t="s">
        <v>197</v>
      </c>
      <c r="C7" t="s">
        <v>238</v>
      </c>
      <c r="D7">
        <f>COUNTIF(Comments!$N$2:$N$12,B7)</f>
        <v>2</v>
      </c>
      <c r="E7" s="59">
        <f>SUMPRODUCT((Comments!$N$2:$N$12=B7)*(Comments!$S$2:$S$12="Closed"))</f>
        <v>0</v>
      </c>
      <c r="F7">
        <f t="shared" si="0"/>
        <v>2</v>
      </c>
      <c r="H7" s="59">
        <f>SUMPRODUCT((Comments!$N$2:$N$12=B7)*(Comments!$V$2:$V$12="Accept"))+SUMPRODUCT((Comments!$N$2:$N$12=B7)*(Comments!$V$2:$V$12="Counter"))+SUMPRODUCT((Comments!$N$2:$N$12=B7)*(Comments!$V$2:$V$12="Reject"))</f>
        <v>2</v>
      </c>
      <c r="I7" s="76">
        <f t="shared" si="1"/>
        <v>0</v>
      </c>
    </row>
    <row r="8" spans="2:9" ht="12.75">
      <c r="B8" t="s">
        <v>78</v>
      </c>
      <c r="C8" t="s">
        <v>79</v>
      </c>
      <c r="D8">
        <f>COUNTIF(Comments!$N$2:$N$12,B8)</f>
        <v>2</v>
      </c>
      <c r="E8" s="59">
        <f>SUMPRODUCT((Comments!$N$2:$N$12=B8)*(Comments!$S$2:$S$12="Closed"))</f>
        <v>0</v>
      </c>
      <c r="F8">
        <f t="shared" si="0"/>
        <v>2</v>
      </c>
      <c r="H8" s="59">
        <f>SUMPRODUCT((Comments!$N$2:$N$12=B8)*(Comments!$V$2:$V$12="Accept"))+SUMPRODUCT((Comments!$N$2:$N$12=B8)*(Comments!$V$2:$V$12="Counter"))+SUMPRODUCT((Comments!$N$2:$N$12=B8)*(Comments!$V$2:$V$12="Reject"))</f>
        <v>2</v>
      </c>
      <c r="I8" s="76">
        <f t="shared" si="1"/>
        <v>0</v>
      </c>
    </row>
    <row r="9" spans="2:9" ht="12.75">
      <c r="B9" t="s">
        <v>191</v>
      </c>
      <c r="D9">
        <f>COUNTIF(Comments!$N$2:$N$12,B9)</f>
        <v>1</v>
      </c>
      <c r="E9" s="59">
        <f>SUMPRODUCT((Comments!$N$2:$N$12=B9)*(Comments!$S$2:$S$12="Closed"))</f>
        <v>0</v>
      </c>
      <c r="F9">
        <f t="shared" si="0"/>
        <v>1</v>
      </c>
      <c r="H9" s="59">
        <f>SUMPRODUCT((Comments!$N$2:$N$12=B9)*(Comments!$V$2:$V$12="Accept"))+SUMPRODUCT((Comments!$N$2:$N$12=B9)*(Comments!$V$2:$V$12="Counter"))+SUMPRODUCT((Comments!$N$2:$N$12=B9)*(Comments!$V$2:$V$12="Reject"))</f>
        <v>1</v>
      </c>
      <c r="I9" s="76">
        <f t="shared" si="1"/>
        <v>0</v>
      </c>
    </row>
    <row r="10" spans="2:9" ht="12.75">
      <c r="B10" t="s">
        <v>236</v>
      </c>
      <c r="C10" t="s">
        <v>237</v>
      </c>
      <c r="D10">
        <f>COUNTIF(Comments!$N$2:$N$12,B10)</f>
        <v>0</v>
      </c>
      <c r="E10" s="59">
        <f>SUMPRODUCT((Comments!$N$2:$N$12=B10)*(Comments!$S$2:$S$12="Closed"))</f>
        <v>0</v>
      </c>
      <c r="F10">
        <f t="shared" si="0"/>
        <v>0</v>
      </c>
      <c r="H10" s="59">
        <f>SUMPRODUCT((Comments!$N$2:$N$12=B10)*(Comments!$V$2:$V$12="Accept"))+SUMPRODUCT((Comments!$N$2:$N$12=B10)*(Comments!$V$2:$V$12="Counter"))+SUMPRODUCT((Comments!$N$2:$N$12=B10)*(Comments!$V$2:$V$12="Reject"))</f>
        <v>0</v>
      </c>
      <c r="I10" s="76">
        <f t="shared" si="1"/>
        <v>0</v>
      </c>
    </row>
    <row r="11" spans="2:9" ht="12.75">
      <c r="B11" t="s">
        <v>219</v>
      </c>
      <c r="D11">
        <f>COUNTIF(Comments!$N$2:$N$12,B11)</f>
        <v>0</v>
      </c>
      <c r="E11" s="59">
        <f>SUMPRODUCT((Comments!$N$2:$N$12=B11)*(Comments!$S$2:$S$12="Closed"))</f>
        <v>0</v>
      </c>
      <c r="F11">
        <f t="shared" si="0"/>
        <v>0</v>
      </c>
      <c r="H11" s="59">
        <f>SUMPRODUCT((Comments!$N$2:$N$12=B11)*(Comments!$V$2:$V$12="Accept"))+SUMPRODUCT((Comments!$N$2:$N$12=B11)*(Comments!$V$2:$V$12="Counter"))+SUMPRODUCT((Comments!$N$2:$N$12=B11)*(Comments!$V$2:$V$12="Reject"))</f>
        <v>0</v>
      </c>
      <c r="I11" s="76">
        <f t="shared" si="1"/>
        <v>0</v>
      </c>
    </row>
    <row r="12" spans="2:9" ht="12.75">
      <c r="B12" t="s">
        <v>164</v>
      </c>
      <c r="D12">
        <f>COUNTIF(Comments!$N$2:$N$12,B12)</f>
        <v>0</v>
      </c>
      <c r="E12" s="59">
        <f>SUMPRODUCT((Comments!$N$2:$N$12=B12)*(Comments!$S$2:$S$12="Closed"))</f>
        <v>0</v>
      </c>
      <c r="F12">
        <f t="shared" si="0"/>
        <v>0</v>
      </c>
      <c r="H12" s="59">
        <f>SUMPRODUCT((Comments!$N$2:$N$12=B12)*(Comments!$V$2:$V$12="Accept"))+SUMPRODUCT((Comments!$N$2:$N$12=B12)*(Comments!$V$2:$V$12="Counter"))+SUMPRODUCT((Comments!$N$2:$N$12=B12)*(Comments!$V$2:$V$12="Reject"))</f>
        <v>0</v>
      </c>
      <c r="I12" s="76">
        <f t="shared" si="1"/>
        <v>0</v>
      </c>
    </row>
    <row r="13" spans="4:9" ht="12.75">
      <c r="D13">
        <f>SUM(D4:D12)</f>
        <v>5</v>
      </c>
      <c r="E13">
        <f>SUM(E4:E12)</f>
        <v>0</v>
      </c>
      <c r="F13">
        <f>SUM(F4:F12)</f>
        <v>5</v>
      </c>
      <c r="H13">
        <f>SUM(H4:H12)</f>
        <v>5</v>
      </c>
      <c r="I13">
        <f>SUM(I4:I12)</f>
        <v>0</v>
      </c>
    </row>
    <row r="14" s="43" customFormat="1" ht="18">
      <c r="A14" s="43" t="s">
        <v>194</v>
      </c>
    </row>
    <row r="15" spans="2:9" ht="12.75">
      <c r="B15" t="s">
        <v>199</v>
      </c>
      <c r="C15" t="s">
        <v>200</v>
      </c>
      <c r="D15">
        <f>COUNTIF(Comments!$N$2:$N$12,B15)</f>
        <v>0</v>
      </c>
      <c r="E15" s="59">
        <f>SUMPRODUCT((Comments!$N$2:$N$12=B15)*(Comments!$S$2:$S$12="Closed"))</f>
        <v>0</v>
      </c>
      <c r="F15">
        <f aca="true" t="shared" si="2" ref="F15:F22">D15-E15</f>
        <v>0</v>
      </c>
      <c r="H15" s="59">
        <f>SUMPRODUCT((Comments!$N$2:$N$12=B15)*(Comments!$V$2:$V$12="Accept"))+SUMPRODUCT((Comments!$N$2:$N$12=B15)*(Comments!$V$2:$V$12="Counter"))+SUMPRODUCT((Comments!$N$2:$N$12=B15)*(Comments!$V$2:$V$12="Reject"))</f>
        <v>0</v>
      </c>
      <c r="I15" s="76">
        <f aca="true" t="shared" si="3" ref="I15:I22">D15-H15</f>
        <v>0</v>
      </c>
    </row>
    <row r="16" spans="2:9" ht="12.75">
      <c r="B16" t="s">
        <v>81</v>
      </c>
      <c r="C16" t="s">
        <v>82</v>
      </c>
      <c r="D16">
        <f>COUNTIF(Comments!$N$2:$N$12,B16)</f>
        <v>0</v>
      </c>
      <c r="E16" s="59">
        <f>SUMPRODUCT((Comments!$N$2:$N$12=B16)*(Comments!$S$2:$S$12="Closed"))</f>
        <v>0</v>
      </c>
      <c r="F16">
        <f t="shared" si="2"/>
        <v>0</v>
      </c>
      <c r="H16" s="59">
        <f>SUMPRODUCT((Comments!$N$2:$N$12=B16)*(Comments!$V$2:$V$12="Accept"))+SUMPRODUCT((Comments!$N$2:$N$12=B16)*(Comments!$V$2:$V$12="Counter"))+SUMPRODUCT((Comments!$N$2:$N$12=B16)*(Comments!$V$2:$V$12="Reject"))</f>
        <v>0</v>
      </c>
      <c r="I16" s="76">
        <f t="shared" si="3"/>
        <v>0</v>
      </c>
    </row>
    <row r="17" spans="2:9" ht="12.75">
      <c r="B17" t="s">
        <v>83</v>
      </c>
      <c r="C17" t="s">
        <v>198</v>
      </c>
      <c r="D17">
        <f>COUNTIF(Comments!$N$2:$N$12,B17)</f>
        <v>0</v>
      </c>
      <c r="E17" s="59">
        <f>SUMPRODUCT((Comments!$N$2:$N$12=B17)*(Comments!$S$2:$S$12="Closed"))</f>
        <v>0</v>
      </c>
      <c r="F17">
        <f t="shared" si="2"/>
        <v>0</v>
      </c>
      <c r="H17" s="59">
        <f>SUMPRODUCT((Comments!$N$2:$N$12=B17)*(Comments!$V$2:$V$12="Accept"))+SUMPRODUCT((Comments!$N$2:$N$12=B17)*(Comments!$V$2:$V$12="Counter"))+SUMPRODUCT((Comments!$N$2:$N$12=B17)*(Comments!$V$2:$V$12="Reject"))</f>
        <v>0</v>
      </c>
      <c r="I17" s="76">
        <f t="shared" si="3"/>
        <v>0</v>
      </c>
    </row>
    <row r="18" spans="2:9" ht="12.75">
      <c r="B18" t="s">
        <v>201</v>
      </c>
      <c r="D18">
        <f>COUNTIF(Comments!$N$2:$N$12,B18)</f>
        <v>0</v>
      </c>
      <c r="E18" s="59">
        <f>SUMPRODUCT((Comments!$N$2:$N$12=B18)*(Comments!$S$2:$S$12="Closed"))</f>
        <v>0</v>
      </c>
      <c r="F18">
        <f t="shared" si="2"/>
        <v>0</v>
      </c>
      <c r="H18" s="59">
        <f>SUMPRODUCT((Comments!$N$2:$N$12=B18)*(Comments!$V$2:$V$12="Accept"))+SUMPRODUCT((Comments!$N$2:$N$12=B18)*(Comments!$V$2:$V$12="Counter"))+SUMPRODUCT((Comments!$N$2:$N$12=B18)*(Comments!$V$2:$V$12="Reject"))</f>
        <v>0</v>
      </c>
      <c r="I18" s="76">
        <f t="shared" si="3"/>
        <v>0</v>
      </c>
    </row>
    <row r="19" spans="2:9" ht="12.75">
      <c r="B19" t="s">
        <v>153</v>
      </c>
      <c r="C19" t="s">
        <v>154</v>
      </c>
      <c r="D19">
        <f>COUNTIF(Comments!$N$2:$N$12,B19)</f>
        <v>3</v>
      </c>
      <c r="E19" s="59">
        <f>SUMPRODUCT((Comments!$N$2:$N$12=B19)*(Comments!$S$2:$S$12="Closed"))</f>
        <v>0</v>
      </c>
      <c r="F19">
        <f t="shared" si="2"/>
        <v>3</v>
      </c>
      <c r="H19" s="59">
        <f>SUMPRODUCT((Comments!$N$2:$N$12=B19)*(Comments!$V$2:$V$12="Accept"))+SUMPRODUCT((Comments!$N$2:$N$12=B19)*(Comments!$V$2:$V$12="Counter"))+SUMPRODUCT((Comments!$N$2:$N$12=B19)*(Comments!$V$2:$V$12="Reject"))</f>
        <v>3</v>
      </c>
      <c r="I19" s="76">
        <f t="shared" si="3"/>
        <v>0</v>
      </c>
    </row>
    <row r="20" spans="2:9" ht="12.75">
      <c r="B20" t="s">
        <v>202</v>
      </c>
      <c r="C20" t="s">
        <v>203</v>
      </c>
      <c r="D20">
        <f>COUNTIF(Comments!$N$2:$N$12,B20)</f>
        <v>0</v>
      </c>
      <c r="E20" s="59">
        <f>SUMPRODUCT((Comments!$N$2:$N$12=B20)*(Comments!$S$2:$S$12="Closed"))</f>
        <v>0</v>
      </c>
      <c r="F20">
        <f t="shared" si="2"/>
        <v>0</v>
      </c>
      <c r="H20" s="59">
        <f>SUMPRODUCT((Comments!$N$2:$N$12=B20)*(Comments!$V$2:$V$12="Accept"))+SUMPRODUCT((Comments!$N$2:$N$12=B20)*(Comments!$V$2:$V$12="Counter"))+SUMPRODUCT((Comments!$N$2:$N$12=B20)*(Comments!$V$2:$V$12="Reject"))</f>
        <v>0</v>
      </c>
      <c r="I20" s="76">
        <f t="shared" si="3"/>
        <v>0</v>
      </c>
    </row>
    <row r="21" spans="2:9" ht="12.75">
      <c r="B21" t="s">
        <v>141</v>
      </c>
      <c r="C21" t="s">
        <v>142</v>
      </c>
      <c r="D21">
        <f>COUNTIF(Comments!$N$2:$N$12,B21)</f>
        <v>0</v>
      </c>
      <c r="E21" s="59">
        <f>SUMPRODUCT((Comments!$N$2:$N$12=B21)*(Comments!$S$2:$S$12="Closed"))</f>
        <v>0</v>
      </c>
      <c r="F21">
        <f>D21-E21</f>
        <v>0</v>
      </c>
      <c r="H21" s="59">
        <f>SUMPRODUCT((Comments!$N$2:$N$12=B21)*(Comments!$V$2:$V$12="Accept"))+SUMPRODUCT((Comments!$N$2:$N$12=B21)*(Comments!$V$2:$V$12="Counter"))+SUMPRODUCT((Comments!$N$2:$N$12=B21)*(Comments!$V$2:$V$12="Reject"))</f>
        <v>0</v>
      </c>
      <c r="I21" s="76">
        <f t="shared" si="3"/>
        <v>0</v>
      </c>
    </row>
    <row r="22" spans="2:9" ht="12.75">
      <c r="B22" t="s">
        <v>155</v>
      </c>
      <c r="C22" t="s">
        <v>156</v>
      </c>
      <c r="D22">
        <f>COUNTIF(Comments!$N$2:$N$12,B22)</f>
        <v>0</v>
      </c>
      <c r="E22" s="59">
        <f>SUMPRODUCT((Comments!$N$2:$N$12=B22)*(Comments!$S$2:$S$12="Closed"))</f>
        <v>0</v>
      </c>
      <c r="F22">
        <f t="shared" si="2"/>
        <v>0</v>
      </c>
      <c r="H22" s="59">
        <f>SUMPRODUCT((Comments!$N$2:$N$12=B22)*(Comments!$V$2:$V$12="Accept"))+SUMPRODUCT((Comments!$N$2:$N$12=B22)*(Comments!$V$2:$V$12="Counter"))+SUMPRODUCT((Comments!$N$2:$N$12=B22)*(Comments!$V$2:$V$12="Reject"))</f>
        <v>0</v>
      </c>
      <c r="I22" s="76">
        <f t="shared" si="3"/>
        <v>0</v>
      </c>
    </row>
    <row r="23" spans="4:9" ht="12.75">
      <c r="D23">
        <f>SUM(D15:D22)</f>
        <v>3</v>
      </c>
      <c r="E23">
        <f>SUM(E15:E22)</f>
        <v>0</v>
      </c>
      <c r="F23">
        <f>SUM(F15:F22)</f>
        <v>3</v>
      </c>
      <c r="H23">
        <f>SUM(H15:H22)</f>
        <v>3</v>
      </c>
      <c r="I23">
        <f>SUM(I15:I22)</f>
        <v>0</v>
      </c>
    </row>
    <row r="24" s="43" customFormat="1" ht="18">
      <c r="A24" s="43" t="s">
        <v>204</v>
      </c>
    </row>
    <row r="25" spans="2:9" ht="12.75">
      <c r="B25" t="s">
        <v>126</v>
      </c>
      <c r="C25" t="s">
        <v>125</v>
      </c>
      <c r="D25">
        <f>COUNTIF(Comments!$N$2:$N$12,B25)</f>
        <v>0</v>
      </c>
      <c r="E25" s="59">
        <f>SUMPRODUCT((Comments!$N$2:$N$12=B25)*(Comments!$S$2:$S$12="Closed"))</f>
        <v>0</v>
      </c>
      <c r="F25">
        <f aca="true" t="shared" si="4" ref="F25:F31">D25-E25</f>
        <v>0</v>
      </c>
      <c r="H25" s="59">
        <f>SUMPRODUCT((Comments!$N$2:$N$12=B25)*(Comments!$V$2:$V$12="Accept"))+SUMPRODUCT((Comments!$N$2:$N$12=B25)*(Comments!$V$2:$V$12="Counter"))+SUMPRODUCT((Comments!$N$2:$N$12=B25)*(Comments!$V$2:$V$12="Reject"))</f>
        <v>0</v>
      </c>
      <c r="I25" s="76">
        <f aca="true" t="shared" si="5" ref="I25:I31">D25-H25</f>
        <v>0</v>
      </c>
    </row>
    <row r="26" spans="2:9" ht="12.75">
      <c r="B26" t="s">
        <v>147</v>
      </c>
      <c r="C26" t="s">
        <v>86</v>
      </c>
      <c r="D26">
        <f>COUNTIF(Comments!$N$2:$N$12,B26)</f>
        <v>0</v>
      </c>
      <c r="E26" s="59">
        <f>SUMPRODUCT((Comments!$N$2:$N$12=B26)*(Comments!$S$2:$S$12="Closed"))</f>
        <v>0</v>
      </c>
      <c r="F26">
        <f t="shared" si="4"/>
        <v>0</v>
      </c>
      <c r="H26" s="59">
        <f>SUMPRODUCT((Comments!$N$2:$N$12=B26)*(Comments!$V$2:$V$12="Accept"))+SUMPRODUCT((Comments!$N$2:$N$12=B26)*(Comments!$V$2:$V$12="Counter"))+SUMPRODUCT((Comments!$N$2:$N$12=B26)*(Comments!$V$2:$V$12="Reject"))</f>
        <v>0</v>
      </c>
      <c r="I26" s="76">
        <f t="shared" si="5"/>
        <v>0</v>
      </c>
    </row>
    <row r="27" spans="2:9" ht="12.75">
      <c r="B27" t="s">
        <v>84</v>
      </c>
      <c r="C27" t="s">
        <v>85</v>
      </c>
      <c r="D27">
        <f>COUNTIF(Comments!$N$2:$N$12,B27)</f>
        <v>1</v>
      </c>
      <c r="E27" s="59">
        <f>SUMPRODUCT((Comments!$N$2:$N$12=B27)*(Comments!$S$2:$S$12="Closed"))</f>
        <v>0</v>
      </c>
      <c r="F27">
        <f t="shared" si="4"/>
        <v>1</v>
      </c>
      <c r="H27" s="59">
        <f>SUMPRODUCT((Comments!$N$2:$N$12=B27)*(Comments!$V$2:$V$12="Accept"))+SUMPRODUCT((Comments!$N$2:$N$12=B27)*(Comments!$V$2:$V$12="Counter"))+SUMPRODUCT((Comments!$N$2:$N$12=B27)*(Comments!$V$2:$V$12="Reject"))</f>
        <v>1</v>
      </c>
      <c r="I27" s="76">
        <f t="shared" si="5"/>
        <v>0</v>
      </c>
    </row>
    <row r="28" spans="2:9" ht="12.75">
      <c r="B28" t="s">
        <v>206</v>
      </c>
      <c r="D28">
        <f>COUNTIF(Comments!$N$2:$N$12,B28)</f>
        <v>0</v>
      </c>
      <c r="E28" s="59">
        <f>SUMPRODUCT((Comments!$N$2:$N$12=B28)*(Comments!$S$2:$S$12="Closed"))</f>
        <v>0</v>
      </c>
      <c r="F28">
        <f t="shared" si="4"/>
        <v>0</v>
      </c>
      <c r="H28" s="59">
        <f>SUMPRODUCT((Comments!$N$2:$N$12=B28)*(Comments!$V$2:$V$12="Accept"))+SUMPRODUCT((Comments!$N$2:$N$12=B28)*(Comments!$V$2:$V$12="Counter"))+SUMPRODUCT((Comments!$N$2:$N$12=B28)*(Comments!$V$2:$V$12="Reject"))</f>
        <v>0</v>
      </c>
      <c r="I28" s="76">
        <f t="shared" si="5"/>
        <v>0</v>
      </c>
    </row>
    <row r="29" spans="2:9" ht="12.75">
      <c r="B29" t="s">
        <v>205</v>
      </c>
      <c r="D29">
        <f>COUNTIF(Comments!$N$2:$N$12,B29)</f>
        <v>1</v>
      </c>
      <c r="E29" s="59">
        <f>SUMPRODUCT((Comments!$N$2:$N$12=B29)*(Comments!$S$2:$S$12="Closed"))</f>
        <v>0</v>
      </c>
      <c r="F29">
        <f t="shared" si="4"/>
        <v>1</v>
      </c>
      <c r="H29" s="59">
        <f>SUMPRODUCT((Comments!$N$2:$N$12=B29)*(Comments!$V$2:$V$12="Accept"))+SUMPRODUCT((Comments!$N$2:$N$12=B29)*(Comments!$V$2:$V$12="Counter"))+SUMPRODUCT((Comments!$N$2:$N$12=B29)*(Comments!$V$2:$V$12="Reject"))</f>
        <v>1</v>
      </c>
      <c r="I29" s="76">
        <f t="shared" si="5"/>
        <v>0</v>
      </c>
    </row>
    <row r="30" spans="2:9" ht="12.75">
      <c r="B30" t="s">
        <v>146</v>
      </c>
      <c r="D30">
        <f>COUNTIF(Comments!$N$2:$N$12,B30)</f>
        <v>1</v>
      </c>
      <c r="E30" s="59">
        <f>SUMPRODUCT((Comments!$N$2:$N$12=B30)*(Comments!$S$2:$S$12="Closed"))</f>
        <v>0</v>
      </c>
      <c r="F30">
        <f t="shared" si="4"/>
        <v>1</v>
      </c>
      <c r="H30" s="59">
        <f>SUMPRODUCT((Comments!$N$2:$N$12=B30)*(Comments!$V$2:$V$12="Accept"))+SUMPRODUCT((Comments!$N$2:$N$12=B30)*(Comments!$V$2:$V$12="Counter"))+SUMPRODUCT((Comments!$N$2:$N$12=B30)*(Comments!$V$2:$V$12="Reject"))</f>
        <v>1</v>
      </c>
      <c r="I30" s="76">
        <f t="shared" si="5"/>
        <v>0</v>
      </c>
    </row>
    <row r="31" spans="2:9" ht="12.75">
      <c r="B31" t="s">
        <v>127</v>
      </c>
      <c r="D31">
        <f>COUNTIF(Comments!$N$2:$N$12,B31)</f>
        <v>0</v>
      </c>
      <c r="E31" s="59">
        <f>SUMPRODUCT((Comments!$N$2:$N$12=B31)*(Comments!$S$2:$S$12="Closed"))</f>
        <v>0</v>
      </c>
      <c r="F31">
        <f t="shared" si="4"/>
        <v>0</v>
      </c>
      <c r="H31" s="59">
        <f>SUMPRODUCT((Comments!$N$2:$N$12=B31)*(Comments!$V$2:$V$12="Accept"))+SUMPRODUCT((Comments!$N$2:$N$12=B31)*(Comments!$V$2:$V$12="Counter"))+SUMPRODUCT((Comments!$N$2:$N$12=B31)*(Comments!$V$2:$V$12="Reject"))</f>
        <v>0</v>
      </c>
      <c r="I31" s="76">
        <f t="shared" si="5"/>
        <v>0</v>
      </c>
    </row>
    <row r="32" spans="4:9" ht="12.75">
      <c r="D32">
        <f>SUM(D25:D31)</f>
        <v>3</v>
      </c>
      <c r="E32">
        <f>SUM(E25:E31)</f>
        <v>0</v>
      </c>
      <c r="F32">
        <f>SUM(F25:F31)</f>
        <v>3</v>
      </c>
      <c r="H32">
        <f>SUM(H25:H31)</f>
        <v>3</v>
      </c>
      <c r="I32">
        <f>SUM(I25:I31)</f>
        <v>0</v>
      </c>
    </row>
    <row r="33" s="43" customFormat="1" ht="18">
      <c r="A33" s="43" t="s">
        <v>91</v>
      </c>
    </row>
    <row r="34" spans="2:9" ht="12.75">
      <c r="B34" t="s">
        <v>215</v>
      </c>
      <c r="D34">
        <f>COUNTIF(Comments!$N$2:$N$12,B34)</f>
        <v>0</v>
      </c>
      <c r="E34" s="59">
        <f>SUMPRODUCT((Comments!$N$2:$N$12=B34)*(Comments!$S$2:$S$12="Closed"))</f>
        <v>0</v>
      </c>
      <c r="F34">
        <f aca="true" t="shared" si="6" ref="F34:F39">D34-E34</f>
        <v>0</v>
      </c>
      <c r="H34" s="59">
        <f>SUMPRODUCT((Comments!$N$2:$N$12=B34)*(Comments!$V$2:$V$12="Accept"))+SUMPRODUCT((Comments!$N$2:$N$12=B34)*(Comments!$V$2:$V$12="Counter"))+SUMPRODUCT((Comments!$N$2:$N$12=B34)*(Comments!$V$2:$V$12="Reject"))</f>
        <v>0</v>
      </c>
      <c r="I34" s="76">
        <f aca="true" t="shared" si="7" ref="I34:I39">D34-H34</f>
        <v>0</v>
      </c>
    </row>
    <row r="35" spans="2:9" ht="12.75">
      <c r="B35" t="s">
        <v>21</v>
      </c>
      <c r="C35" t="s">
        <v>22</v>
      </c>
      <c r="D35">
        <f>COUNTIF(Comments!$N$2:$N$12,B35)</f>
        <v>0</v>
      </c>
      <c r="E35" s="59">
        <f>SUMPRODUCT((Comments!$N$2:$N$12=B35)*(Comments!$S$2:$S$12="Closed"))</f>
        <v>0</v>
      </c>
      <c r="F35">
        <f>D35-E35</f>
        <v>0</v>
      </c>
      <c r="H35" s="59">
        <f>SUMPRODUCT((Comments!$N$2:$N$12=B35)*(Comments!$V$2:$V$12="Accept"))+SUMPRODUCT((Comments!$N$2:$N$12=B35)*(Comments!$V$2:$V$12="Counter"))+SUMPRODUCT((Comments!$N$2:$N$12=B35)*(Comments!$V$2:$V$12="Reject"))</f>
        <v>0</v>
      </c>
      <c r="I35" s="76">
        <f>D35-H35</f>
        <v>0</v>
      </c>
    </row>
    <row r="36" spans="2:9" ht="12.75">
      <c r="B36" t="s">
        <v>23</v>
      </c>
      <c r="D36">
        <f>COUNTIF(Comments!$N$2:$N$12,B36)</f>
        <v>0</v>
      </c>
      <c r="E36" s="59">
        <f>SUMPRODUCT((Comments!$N$2:$N$12=B36)*(Comments!$S$2:$S$12="Closed"))</f>
        <v>0</v>
      </c>
      <c r="F36">
        <f t="shared" si="6"/>
        <v>0</v>
      </c>
      <c r="H36" s="59">
        <f>SUMPRODUCT((Comments!$N$2:$N$12=B36)*(Comments!$V$2:$V$12="Accept"))+SUMPRODUCT((Comments!$N$2:$N$12=B36)*(Comments!$V$2:$V$12="Counter"))+SUMPRODUCT((Comments!$N$2:$N$12=B36)*(Comments!$V$2:$V$12="Reject"))</f>
        <v>0</v>
      </c>
      <c r="I36" s="76">
        <f t="shared" si="7"/>
        <v>0</v>
      </c>
    </row>
    <row r="37" spans="2:9" ht="12.75">
      <c r="B37" t="s">
        <v>234</v>
      </c>
      <c r="C37" t="s">
        <v>235</v>
      </c>
      <c r="D37">
        <f>COUNTIF(Comments!$N$2:$N$12,B37)</f>
        <v>0</v>
      </c>
      <c r="E37" s="59">
        <f>SUMPRODUCT((Comments!$N$2:$N$12=B37)*(Comments!$S$2:$S$12="Closed"))</f>
        <v>0</v>
      </c>
      <c r="F37">
        <f t="shared" si="6"/>
        <v>0</v>
      </c>
      <c r="H37" s="59">
        <f>SUMPRODUCT((Comments!$N$2:$N$12=B37)*(Comments!$V$2:$V$12="Accept"))+SUMPRODUCT((Comments!$N$2:$N$12=B37)*(Comments!$V$2:$V$12="Counter"))+SUMPRODUCT((Comments!$N$2:$N$12=B37)*(Comments!$V$2:$V$12="Reject"))</f>
        <v>0</v>
      </c>
      <c r="I37" s="76">
        <f t="shared" si="7"/>
        <v>0</v>
      </c>
    </row>
    <row r="38" spans="2:9" ht="12.75">
      <c r="B38" t="s">
        <v>93</v>
      </c>
      <c r="C38" t="s">
        <v>92</v>
      </c>
      <c r="D38">
        <f>COUNTIF(Comments!$N$2:$N$12,B38)</f>
        <v>0</v>
      </c>
      <c r="E38" s="59">
        <f>SUMPRODUCT((Comments!$N$2:$N$12=B38)*(Comments!$S$2:$S$12="Closed"))</f>
        <v>0</v>
      </c>
      <c r="F38">
        <f t="shared" si="6"/>
        <v>0</v>
      </c>
      <c r="H38" s="59">
        <f>SUMPRODUCT((Comments!$N$2:$N$12=B38)*(Comments!$V$2:$V$12="Accept"))+SUMPRODUCT((Comments!$N$2:$N$12=B38)*(Comments!$V$2:$V$12="Counter"))+SUMPRODUCT((Comments!$N$2:$N$12=B38)*(Comments!$V$2:$V$12="Reject"))</f>
        <v>0</v>
      </c>
      <c r="I38" s="76">
        <f t="shared" si="7"/>
        <v>0</v>
      </c>
    </row>
    <row r="39" spans="2:9" ht="12.75">
      <c r="B39" t="s">
        <v>94</v>
      </c>
      <c r="C39" t="s">
        <v>239</v>
      </c>
      <c r="D39">
        <f>COUNTIF(Comments!$N$2:$N$12,B39)</f>
        <v>0</v>
      </c>
      <c r="E39" s="59">
        <f>SUMPRODUCT((Comments!$N$2:$N$12=B39)*(Comments!$S$2:$S$12="Closed"))</f>
        <v>0</v>
      </c>
      <c r="F39">
        <f t="shared" si="6"/>
        <v>0</v>
      </c>
      <c r="H39" s="59">
        <f>SUMPRODUCT((Comments!$N$2:$N$12=B39)*(Comments!$V$2:$V$12="Accept"))+SUMPRODUCT((Comments!$N$2:$N$12=B39)*(Comments!$V$2:$V$12="Counter"))+SUMPRODUCT((Comments!$N$2:$N$12=B39)*(Comments!$V$2:$V$12="Reject"))</f>
        <v>0</v>
      </c>
      <c r="I39" s="76">
        <f t="shared" si="7"/>
        <v>0</v>
      </c>
    </row>
    <row r="40" spans="4:9" ht="12.75">
      <c r="D40">
        <f>SUM(D34:D39)</f>
        <v>0</v>
      </c>
      <c r="E40">
        <f>SUM(E34:E39)</f>
        <v>0</v>
      </c>
      <c r="F40">
        <f>SUM(F34:F39)</f>
        <v>0</v>
      </c>
      <c r="H40">
        <f>SUM(H34:H39)</f>
        <v>0</v>
      </c>
      <c r="I40">
        <f>SUM(I34:I39)</f>
        <v>0</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D16" sqref="D16"/>
    </sheetView>
  </sheetViews>
  <sheetFormatPr defaultColWidth="11.42187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s>
  <sheetData>
    <row r="1" ht="23.25">
      <c r="A1" s="42" t="s">
        <v>121</v>
      </c>
    </row>
    <row r="2" ht="12.75">
      <c r="I2" s="49"/>
    </row>
    <row r="3" ht="13.5" thickBot="1"/>
    <row r="4" spans="2:6" ht="14.25" thickBot="1" thickTop="1">
      <c r="B4" s="31" t="s">
        <v>75</v>
      </c>
      <c r="C4" s="32" t="s">
        <v>87</v>
      </c>
      <c r="D4" s="32" t="s">
        <v>117</v>
      </c>
      <c r="E4" s="32" t="s">
        <v>118</v>
      </c>
      <c r="F4" s="33" t="s">
        <v>88</v>
      </c>
    </row>
    <row r="5" spans="2:6" ht="13.5" thickTop="1">
      <c r="B5" s="34" t="s">
        <v>162</v>
      </c>
      <c r="C5" s="35">
        <f>C6+C7</f>
        <v>11</v>
      </c>
      <c r="D5" s="35">
        <f>D6+D7</f>
        <v>0</v>
      </c>
      <c r="E5" s="35">
        <f>E6+E7</f>
        <v>0</v>
      </c>
      <c r="F5" s="36">
        <f aca="true" t="shared" si="0" ref="F5:F12">E5/C5</f>
        <v>0</v>
      </c>
    </row>
    <row r="6" spans="2:6" ht="12.75">
      <c r="B6" s="34" t="s">
        <v>192</v>
      </c>
      <c r="C6" s="35">
        <f>COUNTIF(Comments!$L$2:$L$12,"E")</f>
        <v>4</v>
      </c>
      <c r="D6" s="40">
        <f>SUMPRODUCT((Comments!$L$2:$L$12="E")*(Comments!$S$2:$S$12="Open"))</f>
        <v>0</v>
      </c>
      <c r="E6" s="40">
        <f>SUMPRODUCT((Comments!$L$2:$L$12="E")*(Comments!$S$2:$S$12="Closed"))</f>
        <v>0</v>
      </c>
      <c r="F6" s="36">
        <f t="shared" si="0"/>
        <v>0</v>
      </c>
    </row>
    <row r="7" spans="2:6" ht="13.5" thickBot="1">
      <c r="B7" s="37" t="s">
        <v>193</v>
      </c>
      <c r="C7" s="35">
        <f>COUNTIF(Comments!$L$2:$L$12,"T")</f>
        <v>7</v>
      </c>
      <c r="D7" s="41">
        <f>SUMPRODUCT((Comments!$L$2:$L$12="T")*(Comments!$S$2:$S$12="Open"))</f>
        <v>0</v>
      </c>
      <c r="E7" s="41">
        <f>SUMPRODUCT((Comments!$L$2:$L$12="T")*(Comments!$S$2:$S$12="Closed"))</f>
        <v>0</v>
      </c>
      <c r="F7" s="39">
        <f t="shared" si="0"/>
        <v>0</v>
      </c>
    </row>
    <row r="8" spans="2:6" ht="13.5" thickTop="1">
      <c r="B8" s="34" t="s">
        <v>162</v>
      </c>
      <c r="C8" s="45">
        <f>SUM(C9:C12)</f>
        <v>11</v>
      </c>
      <c r="D8" s="45">
        <f>SUM(D9:D12)</f>
        <v>0</v>
      </c>
      <c r="E8" s="45">
        <f>SUM(E9:E12)</f>
        <v>0</v>
      </c>
      <c r="F8" s="48">
        <f>E8/C8</f>
        <v>0</v>
      </c>
    </row>
    <row r="9" spans="2:6" ht="12.75">
      <c r="B9" s="46" t="s">
        <v>165</v>
      </c>
      <c r="C9" s="35">
        <f>COUNTIF(Comments!$M$2:$M$12,"General")</f>
        <v>5</v>
      </c>
      <c r="D9" s="59">
        <f>SUMPRODUCT((Comments!$M$2:$M$12="General")*(Comments!$S$2:$S$12="Open"))</f>
        <v>0</v>
      </c>
      <c r="E9" s="59">
        <f>SUMPRODUCT((Comments!$M$2:$M$12="General")*(Comments!$S$2:$S$12="Closed"))</f>
        <v>0</v>
      </c>
      <c r="F9" s="36">
        <f t="shared" si="0"/>
        <v>0</v>
      </c>
    </row>
    <row r="10" spans="2:6" ht="12.75">
      <c r="B10" s="46" t="s">
        <v>166</v>
      </c>
      <c r="C10" s="35">
        <f>COUNTIF(Comments!$M$2:$M$12,"MAC")</f>
        <v>3</v>
      </c>
      <c r="D10" s="40">
        <f>SUMPRODUCT((Comments!$M$2:$M$12="MAC")*(Comments!$S$2:$S$12="Open"))</f>
        <v>0</v>
      </c>
      <c r="E10" s="40">
        <f>SUMPRODUCT((Comments!$M$2:$M$12="MAC")*(Comments!$S$2:$S$12="Closed"))</f>
        <v>0</v>
      </c>
      <c r="F10" s="36">
        <f t="shared" si="0"/>
        <v>0</v>
      </c>
    </row>
    <row r="11" spans="2:6" ht="12.75">
      <c r="B11" s="46" t="s">
        <v>128</v>
      </c>
      <c r="C11" s="35">
        <f>COUNTIF(Comments!$M$2:$M$12,"RFI")</f>
        <v>3</v>
      </c>
      <c r="D11" s="40">
        <f>SUMPRODUCT((Comments!$M$2:$M$12="RFI")*(Comments!$S$2:$S$12="Open"))</f>
        <v>0</v>
      </c>
      <c r="E11" s="40">
        <f>SUMPRODUCT((Comments!$M$2:$M$12="RFI")*(Comments!$S$2:$S$12="Closed"))</f>
        <v>0</v>
      </c>
      <c r="F11" s="36">
        <f t="shared" si="0"/>
        <v>0</v>
      </c>
    </row>
    <row r="12" spans="2:6" ht="13.5" thickBot="1">
      <c r="B12" s="47" t="s">
        <v>129</v>
      </c>
      <c r="C12" s="38">
        <f>COUNTIF(Comments!$M$2:$M$12,"Security")</f>
        <v>0</v>
      </c>
      <c r="D12" s="41">
        <f>SUMPRODUCT((Comments!$M$2:$M$12="Security")*(Comments!$S$2:$S$12="Open"))</f>
        <v>0</v>
      </c>
      <c r="E12" s="41">
        <f>SUMPRODUCT((Comments!$M$2:$M$12="Security")*(Comments!$S$2:$S$12="Closed"))</f>
        <v>0</v>
      </c>
      <c r="F12" s="39" t="e">
        <f t="shared" si="0"/>
        <v>#DIV/0!</v>
      </c>
    </row>
    <row r="13" ht="13.5" thickTop="1"/>
    <row r="15" ht="12.75">
      <c r="A15" s="40"/>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11.421875" defaultRowHeight="12.75"/>
  <cols>
    <col min="1" max="1" width="11.421875" style="0" customWidth="1"/>
    <col min="2" max="2" width="20.421875" style="0" bestFit="1" customWidth="1"/>
    <col min="3" max="5" width="11.421875" style="0" customWidth="1"/>
    <col min="6" max="6" width="9.8515625" style="0" bestFit="1" customWidth="1"/>
  </cols>
  <sheetData>
    <row r="1" ht="23.25">
      <c r="A1" s="42" t="s">
        <v>96</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11.421875" defaultRowHeight="12.75"/>
  <sheetData>
    <row r="2" ht="15.75">
      <c r="A2" s="29" t="s">
        <v>158</v>
      </c>
    </row>
    <row r="5" spans="1:8" ht="12.75">
      <c r="A5" s="30">
        <v>1</v>
      </c>
      <c r="B5" s="30" t="s">
        <v>163</v>
      </c>
      <c r="C5" s="30"/>
      <c r="D5" s="30"/>
      <c r="E5" s="30"/>
      <c r="F5" s="30"/>
      <c r="G5" s="30"/>
      <c r="H5" s="30"/>
    </row>
    <row r="6" ht="12.75">
      <c r="A6" s="30"/>
    </row>
    <row r="7" spans="1:2" ht="12.75">
      <c r="A7" s="30">
        <v>2</v>
      </c>
      <c r="B7" s="30" t="s">
        <v>212</v>
      </c>
    </row>
    <row r="8" ht="12.75">
      <c r="A8" s="30"/>
    </row>
    <row r="9" spans="1:3" ht="12.75">
      <c r="A9" s="30">
        <v>3</v>
      </c>
      <c r="B9" s="30" t="s">
        <v>167</v>
      </c>
      <c r="C9" s="30"/>
    </row>
    <row r="10" spans="1:3" ht="12.75">
      <c r="A10" s="30"/>
      <c r="B10" s="30"/>
      <c r="C10" s="30" t="s">
        <v>159</v>
      </c>
    </row>
    <row r="11" spans="1:3" ht="12.75">
      <c r="A11" s="30"/>
      <c r="B11" s="30"/>
      <c r="C11" s="30" t="s">
        <v>160</v>
      </c>
    </row>
    <row r="12" spans="1:3" ht="12.75">
      <c r="A12" s="30"/>
      <c r="B12" s="30"/>
      <c r="C12" s="30" t="s">
        <v>161</v>
      </c>
    </row>
    <row r="13" spans="1:3" ht="12.75">
      <c r="A13" s="30"/>
      <c r="B13" s="30"/>
      <c r="C13" s="30" t="s">
        <v>195</v>
      </c>
    </row>
    <row r="14" spans="1:3" ht="12.75">
      <c r="A14" s="30"/>
      <c r="B14" s="30"/>
      <c r="C14" s="30" t="s">
        <v>213</v>
      </c>
    </row>
    <row r="15" ht="12.75">
      <c r="A15" s="30"/>
    </row>
    <row r="16" spans="1:2" ht="12.75">
      <c r="A16" s="30">
        <v>4</v>
      </c>
      <c r="B16" s="30" t="s">
        <v>221</v>
      </c>
    </row>
    <row r="17" spans="1:2" ht="12.75">
      <c r="A17" s="30"/>
      <c r="B17" s="30" t="s">
        <v>76</v>
      </c>
    </row>
    <row r="18" ht="12.75">
      <c r="A18" s="30"/>
    </row>
    <row r="19" spans="1:3" ht="12.75">
      <c r="A19" s="30">
        <v>5</v>
      </c>
      <c r="B19" s="30" t="s">
        <v>74</v>
      </c>
      <c r="C19" s="30"/>
    </row>
    <row r="20" spans="1:3" ht="12.75">
      <c r="A20" s="30"/>
      <c r="B20" s="30"/>
      <c r="C20" s="30"/>
    </row>
    <row r="21" spans="1:3" ht="12.75">
      <c r="A21" s="30">
        <v>6</v>
      </c>
      <c r="B21" s="30" t="s">
        <v>218</v>
      </c>
      <c r="C21" s="30"/>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A3" activePane="bottomLeft" state="frozen"/>
      <selection pane="topLeft" activeCell="A1" sqref="A1"/>
      <selection pane="bottomLeft" activeCell="B14" sqref="B14"/>
    </sheetView>
  </sheetViews>
  <sheetFormatPr defaultColWidth="11.421875" defaultRowHeight="12.75"/>
  <cols>
    <col min="1" max="1" width="18.8515625" style="0" customWidth="1"/>
    <col min="2" max="2" width="91.140625" style="0" customWidth="1"/>
  </cols>
  <sheetData>
    <row r="1" spans="1:2" ht="23.25">
      <c r="A1" s="17" t="s">
        <v>227</v>
      </c>
      <c r="B1" s="18"/>
    </row>
    <row r="2" spans="1:2" ht="13.5" thickBot="1">
      <c r="A2" s="19" t="s">
        <v>228</v>
      </c>
      <c r="B2" s="20" t="s">
        <v>229</v>
      </c>
    </row>
    <row r="3" spans="1:2" ht="25.5">
      <c r="A3" s="21" t="s">
        <v>105</v>
      </c>
      <c r="B3" s="22" t="s">
        <v>222</v>
      </c>
    </row>
    <row r="4" spans="1:2" ht="12.75">
      <c r="A4" s="23" t="s">
        <v>171</v>
      </c>
      <c r="B4" s="24" t="s">
        <v>223</v>
      </c>
    </row>
    <row r="5" spans="1:2" ht="12.75">
      <c r="A5" s="25" t="s">
        <v>178</v>
      </c>
      <c r="B5" s="24" t="s">
        <v>224</v>
      </c>
    </row>
    <row r="6" spans="1:2" ht="12.75">
      <c r="A6" s="25" t="s">
        <v>119</v>
      </c>
      <c r="B6" s="24" t="s">
        <v>225</v>
      </c>
    </row>
    <row r="7" spans="1:2" ht="12.75">
      <c r="A7" s="25" t="s">
        <v>120</v>
      </c>
      <c r="B7" s="24" t="s">
        <v>186</v>
      </c>
    </row>
    <row r="8" spans="1:2" ht="12.75">
      <c r="A8" s="23" t="s">
        <v>177</v>
      </c>
      <c r="B8" s="24" t="s">
        <v>187</v>
      </c>
    </row>
    <row r="9" spans="1:2" ht="12.75">
      <c r="A9" s="23" t="s">
        <v>188</v>
      </c>
      <c r="B9" s="24" t="s">
        <v>230</v>
      </c>
    </row>
    <row r="10" spans="1:2" ht="76.5">
      <c r="A10" s="23" t="s">
        <v>210</v>
      </c>
      <c r="B10" s="24" t="s">
        <v>241</v>
      </c>
    </row>
    <row r="11" spans="1:2" ht="25.5">
      <c r="A11" s="23" t="s">
        <v>211</v>
      </c>
      <c r="B11" s="24" t="s">
        <v>116</v>
      </c>
    </row>
    <row r="12" spans="1:2" ht="25.5">
      <c r="A12" s="23" t="s">
        <v>112</v>
      </c>
      <c r="B12" s="24" t="s">
        <v>209</v>
      </c>
    </row>
    <row r="13" spans="1:2" ht="25.5">
      <c r="A13" s="23" t="s">
        <v>113</v>
      </c>
      <c r="B13" s="24" t="s">
        <v>189</v>
      </c>
    </row>
    <row r="14" spans="1:2" ht="25.5">
      <c r="A14" s="23" t="s">
        <v>114</v>
      </c>
      <c r="B14" s="24" t="s">
        <v>226</v>
      </c>
    </row>
    <row r="15" spans="1:2" ht="12.75">
      <c r="A15" s="23" t="s">
        <v>99</v>
      </c>
      <c r="B15" s="24" t="s">
        <v>90</v>
      </c>
    </row>
    <row r="16" spans="1:2" ht="12.75">
      <c r="A16" s="26" t="s">
        <v>115</v>
      </c>
      <c r="B16" s="24" t="s">
        <v>216</v>
      </c>
    </row>
    <row r="17" spans="1:2" ht="12.75">
      <c r="A17" s="23" t="s">
        <v>217</v>
      </c>
      <c r="B17" s="24" t="s">
        <v>174</v>
      </c>
    </row>
    <row r="18" spans="1:2" ht="25.5">
      <c r="A18" s="23" t="s">
        <v>175</v>
      </c>
      <c r="B18" s="24" t="s">
        <v>176</v>
      </c>
    </row>
    <row r="19" spans="1:2" ht="76.5">
      <c r="A19" s="23" t="s">
        <v>107</v>
      </c>
      <c r="B19" s="24" t="s">
        <v>172</v>
      </c>
    </row>
    <row r="20" spans="1:2" ht="12.75">
      <c r="A20" s="23" t="s">
        <v>108</v>
      </c>
      <c r="B20" s="24" t="s">
        <v>173</v>
      </c>
    </row>
    <row r="21" spans="1:2" ht="51">
      <c r="A21" s="27" t="s">
        <v>109</v>
      </c>
      <c r="B21" s="28" t="s">
        <v>208</v>
      </c>
    </row>
    <row r="22" spans="1:2" ht="38.25">
      <c r="A22" s="30" t="s">
        <v>89</v>
      </c>
      <c r="B22" s="28" t="s">
        <v>220</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3"/>
  <sheetViews>
    <sheetView zoomScalePageLayoutView="0" workbookViewId="0" topLeftCell="A1">
      <pane ySplit="1" topLeftCell="A2" activePane="bottomLeft" state="frozen"/>
      <selection pane="topLeft" activeCell="A1" sqref="A1"/>
      <selection pane="bottomLeft" activeCell="B4" sqref="B4"/>
    </sheetView>
  </sheetViews>
  <sheetFormatPr defaultColWidth="11.421875" defaultRowHeight="12.75"/>
  <cols>
    <col min="1" max="1" width="12.7109375" style="16" bestFit="1" customWidth="1"/>
    <col min="2" max="2" width="11.00390625" style="12" bestFit="1" customWidth="1"/>
    <col min="3" max="3" width="64.140625" style="11" customWidth="1"/>
  </cols>
  <sheetData>
    <row r="1" spans="1:3" s="13" customFormat="1" ht="15.75">
      <c r="A1" s="13" t="s">
        <v>97</v>
      </c>
      <c r="B1" s="14" t="s">
        <v>98</v>
      </c>
      <c r="C1" s="15" t="s">
        <v>123</v>
      </c>
    </row>
    <row r="3" spans="1:3" ht="38.25">
      <c r="A3" s="16" t="s">
        <v>124</v>
      </c>
      <c r="B3" s="12">
        <v>40428</v>
      </c>
      <c r="C3" s="11" t="s">
        <v>10</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grh</cp:lastModifiedBy>
  <cp:lastPrinted>2004-11-19T06:33:11Z</cp:lastPrinted>
  <dcterms:created xsi:type="dcterms:W3CDTF">2004-07-14T16:37:20Z</dcterms:created>
  <dcterms:modified xsi:type="dcterms:W3CDTF">2010-09-14T03:36:01Z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