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395" windowWidth="25740" windowHeight="7455"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'Comments'!$A$1:$AB$12</definedName>
  </definedNames>
  <calcPr fullCalcOnLoad="1"/>
</workbook>
</file>

<file path=xl/sharedStrings.xml><?xml version="1.0" encoding="utf-8"?>
<sst xmlns="http://schemas.openxmlformats.org/spreadsheetml/2006/main" count="348" uniqueCount="251">
  <si>
    <t>All access categories have the same CW, AIFSN values in a MCCAOP. There are some issues for this design: 
1), there is no priority for AC_VO/AC_VI in MCCAOP.
2), if there are frames from multiple access categories that need to be transmitted in a MCCAOP, e.g. AC_BE and AC_VO, and backoff selects ACBE frames to transmit in a MCCAOP, the MCCAOP owner will send Null frame after it finishes the transmission of AC_BE frames.</t>
  </si>
  <si>
    <t xml:space="preserve">It is probably not good to set QSRC[AC], QLRC[AC] to 0 at the end of MCCAOP. at the end of MCCAOP, QSRC[AC], QLRC[AC] should be resumed to the values of the former beginning of MCCAOP. </t>
  </si>
  <si>
    <t>Clarification of Mesh Data frame format. Do we still need this annex?</t>
  </si>
  <si>
    <t>Generation of proactive PREPs in proactive PREQ mechanism of HWMP. Do we still need this annex?</t>
  </si>
  <si>
    <t xml:space="preserve">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 </t>
  </si>
  <si>
    <t xml:space="preserve">4) If dot11OCBEnabled is true, the Address 3 field is set to the wildcard BSSID.  Is this a statement applicable only for a mesh? It is not clear whether dot11OCBEnabed is only applicable to non-mesh STAs or not. If it is applicable to non-mesh STAs as well, how should it be set? Please clarify the meaning and modify the text accordingly. </t>
  </si>
  <si>
    <t>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t>
  </si>
  <si>
    <t xml:space="preserve">In an MBSS, all STAs shall respond to all received probe requests meeting the above criteria. It is not clear what "the above criteria" refers to. Please modify the sentence so its meaning is clear. </t>
  </si>
  <si>
    <t>September 2010</t>
  </si>
  <si>
    <t>LB 166 Comment Resolutions</t>
  </si>
  <si>
    <t>2010-09-07</t>
  </si>
  <si>
    <t>Compilation of comments gathered through LB166.
Preliminary Topic Category and Issue Identifier are put in column M and column N of "Comments" sheet.</t>
  </si>
  <si>
    <t>General</t>
  </si>
  <si>
    <t>MAC</t>
  </si>
  <si>
    <t>M-MCCA</t>
  </si>
  <si>
    <t>RFI</t>
  </si>
  <si>
    <t>R-HWMP</t>
  </si>
  <si>
    <t>RFI</t>
  </si>
  <si>
    <t>R-MeshGate</t>
  </si>
  <si>
    <t>R-FWD</t>
  </si>
  <si>
    <t>G-General</t>
  </si>
  <si>
    <t>doc.: IEEE 802.11-10/1036r0</t>
  </si>
  <si>
    <t>G-Frame</t>
  </si>
  <si>
    <t>S-Base</t>
  </si>
  <si>
    <t>Unification with base standard</t>
  </si>
  <si>
    <t>S-GroupKey</t>
  </si>
  <si>
    <t>TR</t>
  </si>
  <si>
    <t>Chu, Liwen</t>
  </si>
  <si>
    <t>9.9a.3.11.1</t>
  </si>
  <si>
    <t>9.9a.3.11.2</t>
  </si>
  <si>
    <t>9.22.2.5</t>
  </si>
  <si>
    <t>11C.7.3</t>
  </si>
  <si>
    <t>216</t>
  </si>
  <si>
    <t>CommentID</t>
  </si>
  <si>
    <t>CommenterName</t>
  </si>
  <si>
    <t>CommenterCo</t>
  </si>
  <si>
    <t>CommentType</t>
  </si>
  <si>
    <t>CType</t>
  </si>
  <si>
    <t>Subclause</t>
  </si>
  <si>
    <t>Topic</t>
  </si>
  <si>
    <t>Issue Ident.</t>
  </si>
  <si>
    <t>Asignee</t>
  </si>
  <si>
    <t>Accept_RejectDate</t>
  </si>
  <si>
    <t>ResponseStatus</t>
  </si>
  <si>
    <t>Comment</t>
  </si>
  <si>
    <t>SuggestedRemedy</t>
  </si>
  <si>
    <t>Resolution Code</t>
  </si>
  <si>
    <t xml:space="preserve">Orig Subclause </t>
  </si>
  <si>
    <t>215</t>
  </si>
  <si>
    <t>46-48</t>
  </si>
  <si>
    <t>14</t>
  </si>
  <si>
    <t>116</t>
  </si>
  <si>
    <t>36</t>
  </si>
  <si>
    <t>115</t>
  </si>
  <si>
    <t>Y.1</t>
  </si>
  <si>
    <t>310</t>
  </si>
  <si>
    <t>Y.6</t>
  </si>
  <si>
    <t>314</t>
  </si>
  <si>
    <t>29</t>
  </si>
  <si>
    <t>7.2.3.0a</t>
  </si>
  <si>
    <t>124</t>
  </si>
  <si>
    <t>177</t>
  </si>
  <si>
    <t>Sakoda, Kazuyuki</t>
  </si>
  <si>
    <t>STMicroelectronics</t>
  </si>
  <si>
    <t>Broadcom Corporation</t>
  </si>
  <si>
    <t>N</t>
  </si>
  <si>
    <t>frames --&gt; frame</t>
  </si>
  <si>
    <t>clarify.</t>
  </si>
  <si>
    <t>Add the following text "After receiving Null frame from MCCAOP owner with Duration/ID field 0, the mesh STA shall  set RAV with MCCAOP owner matching the TA of Null frame to 0."</t>
  </si>
  <si>
    <t>1), Define one AIFSN, one CWmax, one CWmin for MCCAOP access. 
2), MCCAOP owner can transmit frames from any access category after backoff timer is 0 and wireless medium is idle.</t>
  </si>
  <si>
    <t>As proposed.</t>
  </si>
  <si>
    <t>Discuss if it is still needed.</t>
  </si>
  <si>
    <t>It is not clear why only proactive PREQ mechanism has this informative text. Discuss if it is still needed, or if it is better to describe other proactive path discovery mechanisms in this annex.</t>
  </si>
  <si>
    <t>grammar: mixed singular and plural in "upon reception of a Mesh Link Metric Report frames"</t>
  </si>
  <si>
    <t>Is it "Mb/s" or "Mbit/s" according to IEEE standards for units and the SI unit system?</t>
  </si>
  <si>
    <t>The behavior of a mesh STA that is not the MCCAOP owner after receiving Null frame from MCCAOP owner is not defined.</t>
  </si>
  <si>
    <t>Do not use AutoSort when pasting multiple fields from one spreadsheet to another!!!!</t>
  </si>
  <si>
    <t>Overall Summary</t>
  </si>
  <si>
    <t>Use these lables in column M. Issue Identifierss should start with G, M, R, or S.</t>
  </si>
  <si>
    <t>G-Discovery</t>
  </si>
  <si>
    <t>G-Frame</t>
  </si>
  <si>
    <t>General Frame Format</t>
  </si>
  <si>
    <t>Unification with base standard.</t>
  </si>
  <si>
    <t>M-CC</t>
  </si>
  <si>
    <t>Congestion Control</t>
  </si>
  <si>
    <t>M-CS</t>
  </si>
  <si>
    <t>R-FWD</t>
  </si>
  <si>
    <t>Forwarding</t>
  </si>
  <si>
    <t>Frame Format</t>
  </si>
  <si>
    <t>Total</t>
  </si>
  <si>
    <t>% Closed</t>
  </si>
  <si>
    <t>Color Codes</t>
  </si>
  <si>
    <t>If non-blank, identifies a document submission brought in resolution of the comment.</t>
  </si>
  <si>
    <t>Security</t>
  </si>
  <si>
    <t>Peer Link Management</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</si>
  <si>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</si>
  <si>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</si>
  <si>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</si>
  <si>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</si>
  <si>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</si>
  <si>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</si>
  <si>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</si>
  <si>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</si>
  <si>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</si>
  <si>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</si>
  <si>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</si>
  <si>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</si>
  <si>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</si>
  <si>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</si>
  <si>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</si>
  <si>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</si>
  <si>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</si>
  <si>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Edit Status</t>
  </si>
  <si>
    <t>Edit Notes</t>
  </si>
  <si>
    <t>Edited in Draft</t>
  </si>
  <si>
    <t>Duplicate of CID</t>
  </si>
  <si>
    <t xml:space="preserve">Resolution Status
</t>
  </si>
  <si>
    <t>Assignee</t>
  </si>
  <si>
    <t>TGs Approval Date</t>
  </si>
  <si>
    <t>Identifier for comments that are related to a particular issue. Issue Identifiers should start with M, S, R, or G depending on the issues Topic Category.</t>
  </si>
  <si>
    <t>Open</t>
  </si>
  <si>
    <t>Closed</t>
  </si>
  <si>
    <t>Orig Page No.</t>
  </si>
  <si>
    <t>Orig Line No.</t>
  </si>
  <si>
    <t>Statistics</t>
  </si>
  <si>
    <t>Issue IDs are used to identify groups of CIDs that are related to the same issue</t>
  </si>
  <si>
    <t>Notes / Summary of Changes</t>
  </si>
  <si>
    <t>r0</t>
  </si>
  <si>
    <t>Link Metric</t>
  </si>
  <si>
    <t>R-LM</t>
  </si>
  <si>
    <t>R-Proxy</t>
  </si>
  <si>
    <t xml:space="preserve">  RFI</t>
  </si>
  <si>
    <t xml:space="preserve">  Security</t>
  </si>
  <si>
    <t>62</t>
  </si>
  <si>
    <t>27</t>
  </si>
  <si>
    <t>64</t>
  </si>
  <si>
    <t>8</t>
  </si>
  <si>
    <t>4</t>
  </si>
  <si>
    <t>42</t>
  </si>
  <si>
    <t>11</t>
  </si>
  <si>
    <t>32</t>
  </si>
  <si>
    <t>G-Editor</t>
  </si>
  <si>
    <t>5.2.13.4</t>
  </si>
  <si>
    <t xml:space="preserve">As in comment. </t>
  </si>
  <si>
    <t>M-QoS</t>
  </si>
  <si>
    <t>QoS related issues</t>
  </si>
  <si>
    <t>11C.8</t>
  </si>
  <si>
    <t>11.1.3.2.1</t>
  </si>
  <si>
    <t>Sony Corporation</t>
  </si>
  <si>
    <t>R-MeshGate</t>
  </si>
  <si>
    <t>R-Frame</t>
  </si>
  <si>
    <t>assignee</t>
  </si>
  <si>
    <t>resolved</t>
  </si>
  <si>
    <t>remaining</t>
  </si>
  <si>
    <t>26</t>
  </si>
  <si>
    <t>Wang, Qi</t>
  </si>
  <si>
    <t>M-MCCA</t>
  </si>
  <si>
    <t>MCCA</t>
  </si>
  <si>
    <t>M-11n</t>
  </si>
  <si>
    <t>11n compatibility</t>
  </si>
  <si>
    <t>Kazuyuki Sakoda (Sony Corporation)</t>
  </si>
  <si>
    <t>KazuyukiA.Sakoda@jp.sony.com</t>
  </si>
  <si>
    <t>Bahr, Michael</t>
  </si>
  <si>
    <t>Instructions for editing of this spreadsheet by comment resolution subteams</t>
  </si>
  <si>
    <t>Accept</t>
  </si>
  <si>
    <t>Reject</t>
  </si>
  <si>
    <t>Counter</t>
  </si>
  <si>
    <t>Total Comments:</t>
  </si>
  <si>
    <t>Do not change any of columns A-G, R-T, or Y-AA.</t>
  </si>
  <si>
    <t>G-PICS</t>
  </si>
  <si>
    <t xml:space="preserve">  General</t>
  </si>
  <si>
    <t xml:space="preserve">  MAC</t>
  </si>
  <si>
    <t>Only use the following values in column V (Resolution):</t>
  </si>
  <si>
    <t>G-Base</t>
  </si>
  <si>
    <t>total</t>
  </si>
  <si>
    <t>closed</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</si>
  <si>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</si>
  <si>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</si>
  <si>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</si>
  <si>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The comment made by the commenter.   Minor fixups may be made to remove embedded objects.</t>
  </si>
  <si>
    <t>Proposed Change by Commenter</t>
  </si>
  <si>
    <t>The proposed change made by the commenter.   Minor fixups may be made to remove embedded objects.</t>
  </si>
  <si>
    <t>Orig Type</t>
  </si>
  <si>
    <t>Orig Clause</t>
  </si>
  <si>
    <t>Page</t>
  </si>
  <si>
    <t>Line</t>
  </si>
  <si>
    <t>T</t>
  </si>
  <si>
    <t>E</t>
  </si>
  <si>
    <t>General</t>
  </si>
  <si>
    <t>Closed by:</t>
  </si>
  <si>
    <t>Kazuyuki Sakoda</t>
  </si>
  <si>
    <t>Sony Corporation</t>
  </si>
  <si>
    <t>5-1-12 Kitashinagawa, Shinagawa-ku, Tokyo, Japan</t>
  </si>
  <si>
    <t>81-3-5448-4018</t>
  </si>
  <si>
    <t>The line number indicated by the commenter</t>
  </si>
  <si>
    <t>The type of comment indicated by the commenter</t>
  </si>
  <si>
    <t>Part of No Vote</t>
  </si>
  <si>
    <t>Status of the comment (Open or Closed)</t>
  </si>
  <si>
    <t>open</t>
  </si>
  <si>
    <t>G-General</t>
  </si>
  <si>
    <t xml:space="preserve">  Editorial Comments:</t>
  </si>
  <si>
    <t xml:space="preserve">  Technical Comments:</t>
  </si>
  <si>
    <t>MAC</t>
  </si>
  <si>
    <t>Defer</t>
  </si>
  <si>
    <t>G-Def</t>
  </si>
  <si>
    <t>G-Editor</t>
  </si>
  <si>
    <t>Channel Selection</t>
  </si>
  <si>
    <t>M-BS</t>
  </si>
  <si>
    <t>Beaconing and Synchronization</t>
  </si>
  <si>
    <t>M-General</t>
  </si>
  <si>
    <t>M-PM</t>
  </si>
  <si>
    <t>Power Management</t>
  </si>
  <si>
    <t>RFI</t>
  </si>
  <si>
    <t>R-HWMP</t>
  </si>
  <si>
    <t>R-General</t>
  </si>
  <si>
    <t>Full Date: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</si>
  <si>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</si>
  <si>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</si>
  <si>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</si>
  <si>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</si>
  <si>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</si>
  <si>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</si>
  <si>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</si>
  <si>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</si>
  <si>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</si>
  <si>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</si>
  <si>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</si>
  <si>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</si>
  <si>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</si>
  <si>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</si>
  <si>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</si>
  <si>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</si>
  <si>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</si>
  <si>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</si>
  <si>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</si>
  <si>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t>Description of Fields used on the Comments Tab</t>
  </si>
  <si>
    <t>Field</t>
  </si>
  <si>
    <t>Description</t>
  </si>
  <si>
    <t>Whether the comment forms part of the commenter's "No" vote</t>
  </si>
  <si>
    <t>Y</t>
  </si>
  <si>
    <t>T</t>
  </si>
  <si>
    <t>General</t>
  </si>
  <si>
    <t>S-Frame</t>
  </si>
  <si>
    <t>Frame Format</t>
  </si>
  <si>
    <t>G-Emergency</t>
  </si>
  <si>
    <t>Emergency services</t>
  </si>
  <si>
    <t>Editorial fixes (wording, typo fixing, etc)</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</si>
  <si>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</si>
  <si>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</si>
  <si>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</si>
  <si>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Siemens AG</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</si>
</sst>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 numFmtId="205" formatCode="0_ "/>
  </numFmts>
  <fonts count="32">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8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0" fontId="0" fillId="0" borderId="14" xfId="0" applyBorder="1" applyAlignment="1">
      <alignment vertical="top" wrapText="1"/>
    </xf>
    <xf numFmtId="49" fontId="7" fillId="0" borderId="25"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0" fillId="0" borderId="0" xfId="0" applyFont="1" applyAlignment="1">
      <alignment/>
    </xf>
    <xf numFmtId="0" fontId="0" fillId="0" borderId="14" xfId="0" applyNumberFormat="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ont>
        <color rgb="FF000000"/>
      </font>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166 on P802.11s Draft D7.0 with resolutions so far.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12</xdr:row>
      <xdr:rowOff>0</xdr:rowOff>
    </xdr:from>
    <xdr:ext cx="0" cy="0"/>
    <xdr:sp>
      <xdr:nvSpPr>
        <xdr:cNvPr id="1" name="Picture 1"/>
        <xdr:cNvSpPr>
          <a:spLocks noChangeAspect="1"/>
        </xdr:cNvSpPr>
      </xdr:nvSpPr>
      <xdr:spPr>
        <a:xfrm>
          <a:off x="15954375" y="145827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12</xdr:row>
      <xdr:rowOff>0</xdr:rowOff>
    </xdr:from>
    <xdr:ext cx="0" cy="0"/>
    <xdr:sp>
      <xdr:nvSpPr>
        <xdr:cNvPr id="2" name="Picture 1"/>
        <xdr:cNvSpPr>
          <a:spLocks noChangeAspect="1"/>
        </xdr:cNvSpPr>
      </xdr:nvSpPr>
      <xdr:spPr>
        <a:xfrm>
          <a:off x="15954375" y="145827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4" sqref="B4"/>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103</v>
      </c>
    </row>
    <row r="2" ht="18.75">
      <c r="B2" s="1" t="s">
        <v>101</v>
      </c>
    </row>
    <row r="3" spans="1:2" ht="18.75">
      <c r="A3" s="2" t="s">
        <v>97</v>
      </c>
      <c r="B3" s="1" t="s">
        <v>21</v>
      </c>
    </row>
    <row r="4" spans="1:6" ht="18.75">
      <c r="A4" s="2" t="s">
        <v>102</v>
      </c>
      <c r="B4" s="11" t="s">
        <v>8</v>
      </c>
      <c r="F4" s="7"/>
    </row>
    <row r="5" spans="1:2" ht="15.75">
      <c r="A5" s="2" t="s">
        <v>107</v>
      </c>
      <c r="B5" s="8" t="s">
        <v>160</v>
      </c>
    </row>
    <row r="6" s="3" customFormat="1" ht="16.5" thickBot="1"/>
    <row r="7" spans="1:2" s="4" customFormat="1" ht="18.75">
      <c r="A7" s="4" t="s">
        <v>105</v>
      </c>
      <c r="B7" s="9" t="s">
        <v>9</v>
      </c>
    </row>
    <row r="8" spans="1:2" ht="15.75">
      <c r="A8" s="2" t="s">
        <v>215</v>
      </c>
      <c r="B8" s="8" t="s">
        <v>10</v>
      </c>
    </row>
    <row r="9" spans="1:9" ht="15.75">
      <c r="A9" s="2" t="s">
        <v>106</v>
      </c>
      <c r="B9" s="2" t="s">
        <v>190</v>
      </c>
      <c r="C9" s="8"/>
      <c r="E9" s="8"/>
      <c r="F9" s="8"/>
      <c r="G9" s="8"/>
      <c r="H9" s="8"/>
      <c r="I9" s="8"/>
    </row>
    <row r="10" spans="2:9" ht="15.75">
      <c r="B10" s="2" t="s">
        <v>191</v>
      </c>
      <c r="C10" s="8"/>
      <c r="E10" s="8"/>
      <c r="F10" s="8"/>
      <c r="G10" s="8"/>
      <c r="H10" s="8"/>
      <c r="I10" s="8"/>
    </row>
    <row r="11" spans="2:9" ht="15.75">
      <c r="B11" s="2" t="s">
        <v>192</v>
      </c>
      <c r="C11" s="8"/>
      <c r="E11" s="8"/>
      <c r="F11" s="8"/>
      <c r="G11" s="8"/>
      <c r="H11" s="8"/>
      <c r="I11" s="8"/>
    </row>
    <row r="12" spans="2:9" ht="15.75">
      <c r="B12" s="2" t="s">
        <v>193</v>
      </c>
      <c r="C12" s="8"/>
      <c r="E12" s="8"/>
      <c r="F12" s="8"/>
      <c r="G12" s="8"/>
      <c r="H12" s="8"/>
      <c r="I12" s="8"/>
    </row>
    <row r="13" spans="2:9" ht="15.75">
      <c r="B13" s="61" t="s">
        <v>161</v>
      </c>
      <c r="C13" s="10"/>
      <c r="E13" s="8"/>
      <c r="F13" s="8"/>
      <c r="G13" s="8"/>
      <c r="H13" s="8"/>
      <c r="I13" s="8"/>
    </row>
    <row r="14" spans="3:9" ht="15.75">
      <c r="C14" s="8"/>
      <c r="D14" s="8"/>
      <c r="E14" s="8"/>
      <c r="F14" s="8"/>
      <c r="G14" s="8"/>
      <c r="H14" s="8"/>
      <c r="I14" s="8"/>
    </row>
    <row r="15" ht="15.75">
      <c r="A15" s="2" t="s">
        <v>104</v>
      </c>
    </row>
    <row r="27" spans="1:5" ht="15.75" customHeight="1">
      <c r="A27" s="6"/>
      <c r="B27" s="81"/>
      <c r="C27" s="81"/>
      <c r="D27" s="81"/>
      <c r="E27" s="81"/>
    </row>
    <row r="28" spans="1:5" ht="15.75" customHeight="1">
      <c r="A28" s="4"/>
      <c r="B28" s="5"/>
      <c r="C28" s="5"/>
      <c r="D28" s="5"/>
      <c r="E28" s="5"/>
    </row>
    <row r="29" spans="1:5" ht="15.75" customHeight="1">
      <c r="A29" s="4"/>
      <c r="B29" s="80"/>
      <c r="C29" s="80"/>
      <c r="D29" s="80"/>
      <c r="E29" s="80"/>
    </row>
    <row r="30" spans="1:5" ht="15.75" customHeight="1">
      <c r="A30" s="4"/>
      <c r="B30" s="5"/>
      <c r="C30" s="5"/>
      <c r="D30" s="5"/>
      <c r="E30" s="5"/>
    </row>
    <row r="31" spans="1:5" ht="15.75" customHeight="1">
      <c r="A31" s="4"/>
      <c r="B31" s="80"/>
      <c r="C31" s="80"/>
      <c r="D31" s="80"/>
      <c r="E31" s="80"/>
    </row>
    <row r="32" spans="2:5" ht="15.75" customHeight="1">
      <c r="B32" s="80"/>
      <c r="C32" s="80"/>
      <c r="D32" s="80"/>
      <c r="E32" s="80"/>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12"/>
  <sheetViews>
    <sheetView tabSelected="1" zoomScale="85" zoomScaleNormal="85" zoomScalePageLayoutView="0" workbookViewId="0" topLeftCell="A1">
      <pane xSplit="8" ySplit="1" topLeftCell="I2" activePane="bottomRight" state="frozen"/>
      <selection pane="topLeft" activeCell="A1" sqref="A1"/>
      <selection pane="topRight" activeCell="H1" sqref="H1"/>
      <selection pane="bottomLeft" activeCell="A2" sqref="A2"/>
      <selection pane="bottomRight" activeCell="W9" sqref="W9"/>
    </sheetView>
  </sheetViews>
  <sheetFormatPr defaultColWidth="9.140625" defaultRowHeight="12.75"/>
  <cols>
    <col min="1" max="1" width="5.7109375" style="63" customWidth="1"/>
    <col min="2" max="2" width="12.57421875" style="45" customWidth="1"/>
    <col min="3" max="3" width="11.421875" style="45" hidden="1" customWidth="1"/>
    <col min="4" max="4" width="8.7109375" style="66" hidden="1" customWidth="1"/>
    <col min="5" max="5" width="8.28125" style="77" hidden="1" customWidth="1"/>
    <col min="6" max="6" width="7.00390625" style="77" hidden="1" customWidth="1"/>
    <col min="7" max="7" width="9.28125" style="45" hidden="1" customWidth="1"/>
    <col min="8" max="8" width="6.421875" style="45" customWidth="1"/>
    <col min="9" max="9" width="9.8515625" style="66" customWidth="1"/>
    <col min="10" max="10" width="6.57421875" style="70" customWidth="1"/>
    <col min="11" max="11" width="6.8515625" style="64" customWidth="1"/>
    <col min="12" max="12" width="3.8515625" style="45" customWidth="1"/>
    <col min="13" max="13" width="8.00390625" style="45" customWidth="1"/>
    <col min="14" max="14" width="10.421875" style="65" customWidth="1"/>
    <col min="15" max="15" width="9.28125" style="65" customWidth="1"/>
    <col min="16" max="16" width="12.28125" style="65" customWidth="1"/>
    <col min="17" max="17" width="11.421875" style="45" customWidth="1"/>
    <col min="18" max="18" width="8.421875" style="59" customWidth="1"/>
    <col min="19" max="19" width="10.00390625" style="67" customWidth="1"/>
    <col min="20" max="20" width="35.7109375" style="72" customWidth="1"/>
    <col min="21" max="21" width="36.28125" style="72"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33</v>
      </c>
      <c r="B1" s="51" t="s">
        <v>34</v>
      </c>
      <c r="C1" s="51" t="s">
        <v>35</v>
      </c>
      <c r="D1" s="52" t="s">
        <v>47</v>
      </c>
      <c r="E1" s="52" t="s">
        <v>122</v>
      </c>
      <c r="F1" s="76" t="s">
        <v>123</v>
      </c>
      <c r="G1" s="53" t="s">
        <v>36</v>
      </c>
      <c r="H1" s="53" t="s">
        <v>109</v>
      </c>
      <c r="I1" s="54" t="s">
        <v>38</v>
      </c>
      <c r="J1" s="69" t="s">
        <v>184</v>
      </c>
      <c r="K1" s="57" t="s">
        <v>185</v>
      </c>
      <c r="L1" s="54" t="s">
        <v>37</v>
      </c>
      <c r="M1" s="53" t="s">
        <v>39</v>
      </c>
      <c r="N1" s="51" t="s">
        <v>40</v>
      </c>
      <c r="O1" s="51" t="s">
        <v>115</v>
      </c>
      <c r="P1" s="55" t="s">
        <v>41</v>
      </c>
      <c r="Q1" s="55" t="s">
        <v>101</v>
      </c>
      <c r="R1" s="58" t="s">
        <v>42</v>
      </c>
      <c r="S1" s="53" t="s">
        <v>43</v>
      </c>
      <c r="T1" s="53" t="s">
        <v>44</v>
      </c>
      <c r="U1" s="53" t="s">
        <v>45</v>
      </c>
      <c r="V1" s="51" t="s">
        <v>46</v>
      </c>
      <c r="W1" s="51" t="s">
        <v>111</v>
      </c>
      <c r="X1" s="56" t="s">
        <v>222</v>
      </c>
      <c r="Y1" s="55" t="s">
        <v>112</v>
      </c>
      <c r="Z1" s="55" t="s">
        <v>113</v>
      </c>
      <c r="AA1" s="55" t="s">
        <v>114</v>
      </c>
      <c r="AB1" s="51" t="s">
        <v>189</v>
      </c>
    </row>
    <row r="2" spans="1:27" ht="38.25">
      <c r="A2" s="71">
        <v>5001</v>
      </c>
      <c r="B2" s="73" t="s">
        <v>162</v>
      </c>
      <c r="C2" s="73" t="s">
        <v>250</v>
      </c>
      <c r="D2" s="74" t="s">
        <v>31</v>
      </c>
      <c r="E2" s="74" t="s">
        <v>48</v>
      </c>
      <c r="F2" s="74" t="s">
        <v>49</v>
      </c>
      <c r="G2" s="73" t="s">
        <v>187</v>
      </c>
      <c r="H2" s="73" t="s">
        <v>65</v>
      </c>
      <c r="I2" s="74" t="s">
        <v>31</v>
      </c>
      <c r="J2" s="74" t="s">
        <v>48</v>
      </c>
      <c r="K2" s="74" t="s">
        <v>49</v>
      </c>
      <c r="L2" s="73" t="s">
        <v>187</v>
      </c>
      <c r="M2" s="73" t="s">
        <v>12</v>
      </c>
      <c r="N2" s="74" t="s">
        <v>141</v>
      </c>
      <c r="O2" s="74"/>
      <c r="P2" s="74"/>
      <c r="Q2" s="74"/>
      <c r="R2" s="74"/>
      <c r="S2" s="74"/>
      <c r="T2" s="75" t="s">
        <v>73</v>
      </c>
      <c r="U2" s="75" t="s">
        <v>66</v>
      </c>
      <c r="V2" s="68"/>
      <c r="W2" s="68"/>
      <c r="X2" s="68"/>
      <c r="Y2" s="68"/>
      <c r="Z2" s="68"/>
      <c r="AA2" s="68"/>
    </row>
    <row r="3" spans="1:27" ht="38.25">
      <c r="A3" s="71">
        <v>5002</v>
      </c>
      <c r="B3" s="73" t="s">
        <v>162</v>
      </c>
      <c r="C3" s="73" t="s">
        <v>250</v>
      </c>
      <c r="D3" s="74" t="s">
        <v>146</v>
      </c>
      <c r="E3" s="74" t="s">
        <v>32</v>
      </c>
      <c r="F3" s="74" t="s">
        <v>50</v>
      </c>
      <c r="G3" s="73" t="s">
        <v>187</v>
      </c>
      <c r="H3" s="73" t="s">
        <v>65</v>
      </c>
      <c r="I3" s="74" t="s">
        <v>146</v>
      </c>
      <c r="J3" s="74" t="s">
        <v>32</v>
      </c>
      <c r="K3" s="74" t="s">
        <v>50</v>
      </c>
      <c r="L3" s="73" t="s">
        <v>187</v>
      </c>
      <c r="M3" s="73" t="s">
        <v>12</v>
      </c>
      <c r="N3" s="74" t="s">
        <v>141</v>
      </c>
      <c r="O3" s="74"/>
      <c r="P3" s="74"/>
      <c r="Q3" s="74"/>
      <c r="R3" s="74"/>
      <c r="S3" s="74"/>
      <c r="T3" s="75" t="s">
        <v>74</v>
      </c>
      <c r="U3" s="75" t="s">
        <v>67</v>
      </c>
      <c r="V3" s="68"/>
      <c r="W3" s="68"/>
      <c r="X3" s="68"/>
      <c r="Y3" s="68"/>
      <c r="Z3" s="68"/>
      <c r="AA3" s="68"/>
    </row>
    <row r="4" spans="1:27" ht="63.75">
      <c r="A4" s="71">
        <v>5003</v>
      </c>
      <c r="B4" s="73" t="s">
        <v>27</v>
      </c>
      <c r="C4" s="73" t="s">
        <v>63</v>
      </c>
      <c r="D4" s="74" t="s">
        <v>29</v>
      </c>
      <c r="E4" s="74" t="s">
        <v>51</v>
      </c>
      <c r="F4" s="74" t="s">
        <v>52</v>
      </c>
      <c r="G4" s="73" t="s">
        <v>186</v>
      </c>
      <c r="H4" s="73" t="s">
        <v>65</v>
      </c>
      <c r="I4" s="74" t="s">
        <v>29</v>
      </c>
      <c r="J4" s="74" t="s">
        <v>51</v>
      </c>
      <c r="K4" s="74" t="s">
        <v>52</v>
      </c>
      <c r="L4" s="73" t="s">
        <v>186</v>
      </c>
      <c r="M4" s="73" t="s">
        <v>13</v>
      </c>
      <c r="N4" s="74" t="s">
        <v>14</v>
      </c>
      <c r="O4" s="74"/>
      <c r="P4" s="74"/>
      <c r="Q4" s="74"/>
      <c r="R4" s="74"/>
      <c r="S4" s="74"/>
      <c r="T4" s="79" t="s">
        <v>75</v>
      </c>
      <c r="U4" s="79" t="s">
        <v>68</v>
      </c>
      <c r="V4" s="68"/>
      <c r="W4" s="68"/>
      <c r="X4" s="68"/>
      <c r="Y4" s="68"/>
      <c r="Z4" s="68"/>
      <c r="AA4" s="68"/>
    </row>
    <row r="5" spans="1:27" ht="165.75">
      <c r="A5" s="71">
        <v>5004</v>
      </c>
      <c r="B5" s="73" t="s">
        <v>27</v>
      </c>
      <c r="C5" s="73" t="s">
        <v>63</v>
      </c>
      <c r="D5" s="74" t="s">
        <v>28</v>
      </c>
      <c r="E5" s="74" t="s">
        <v>53</v>
      </c>
      <c r="F5" s="74" t="s">
        <v>133</v>
      </c>
      <c r="G5" s="73" t="s">
        <v>186</v>
      </c>
      <c r="H5" s="73" t="s">
        <v>65</v>
      </c>
      <c r="I5" s="74" t="s">
        <v>28</v>
      </c>
      <c r="J5" s="74" t="s">
        <v>53</v>
      </c>
      <c r="K5" s="74" t="s">
        <v>133</v>
      </c>
      <c r="L5" s="73" t="s">
        <v>186</v>
      </c>
      <c r="M5" s="73" t="s">
        <v>13</v>
      </c>
      <c r="N5" s="74" t="s">
        <v>14</v>
      </c>
      <c r="O5" s="74"/>
      <c r="P5" s="74"/>
      <c r="Q5" s="74"/>
      <c r="R5" s="74"/>
      <c r="S5" s="74"/>
      <c r="T5" s="79" t="s">
        <v>0</v>
      </c>
      <c r="U5" s="79" t="s">
        <v>69</v>
      </c>
      <c r="V5" s="68"/>
      <c r="W5" s="68"/>
      <c r="X5" s="68"/>
      <c r="Y5" s="68"/>
      <c r="Z5" s="68"/>
      <c r="AA5" s="68"/>
    </row>
    <row r="6" spans="1:27" ht="76.5">
      <c r="A6" s="71">
        <v>5005</v>
      </c>
      <c r="B6" s="73" t="s">
        <v>27</v>
      </c>
      <c r="C6" s="73" t="s">
        <v>63</v>
      </c>
      <c r="D6" s="74" t="s">
        <v>28</v>
      </c>
      <c r="E6" s="74" t="s">
        <v>51</v>
      </c>
      <c r="F6" s="74" t="s">
        <v>140</v>
      </c>
      <c r="G6" s="73" t="s">
        <v>186</v>
      </c>
      <c r="H6" s="73" t="s">
        <v>65</v>
      </c>
      <c r="I6" s="74" t="s">
        <v>28</v>
      </c>
      <c r="J6" s="74" t="s">
        <v>51</v>
      </c>
      <c r="K6" s="74" t="s">
        <v>140</v>
      </c>
      <c r="L6" s="73" t="s">
        <v>186</v>
      </c>
      <c r="M6" s="73" t="s">
        <v>13</v>
      </c>
      <c r="N6" s="74" t="s">
        <v>14</v>
      </c>
      <c r="O6" s="74"/>
      <c r="P6" s="74"/>
      <c r="Q6" s="74"/>
      <c r="R6" s="74"/>
      <c r="S6" s="74"/>
      <c r="T6" s="75" t="s">
        <v>1</v>
      </c>
      <c r="U6" s="75" t="s">
        <v>70</v>
      </c>
      <c r="V6" s="68"/>
      <c r="W6" s="68"/>
      <c r="X6" s="68"/>
      <c r="Y6" s="68"/>
      <c r="Z6" s="68"/>
      <c r="AA6" s="68"/>
    </row>
    <row r="7" spans="1:27" ht="25.5">
      <c r="A7" s="71">
        <v>5006</v>
      </c>
      <c r="B7" s="73" t="s">
        <v>62</v>
      </c>
      <c r="C7" s="73" t="s">
        <v>191</v>
      </c>
      <c r="D7" s="74" t="s">
        <v>54</v>
      </c>
      <c r="E7" s="74" t="s">
        <v>55</v>
      </c>
      <c r="F7" s="74" t="s">
        <v>139</v>
      </c>
      <c r="G7" s="73" t="s">
        <v>187</v>
      </c>
      <c r="H7" s="73" t="s">
        <v>65</v>
      </c>
      <c r="I7" s="74" t="s">
        <v>54</v>
      </c>
      <c r="J7" s="74" t="s">
        <v>55</v>
      </c>
      <c r="K7" s="74" t="s">
        <v>139</v>
      </c>
      <c r="L7" s="73" t="s">
        <v>187</v>
      </c>
      <c r="M7" s="73" t="s">
        <v>241</v>
      </c>
      <c r="N7" s="74" t="s">
        <v>22</v>
      </c>
      <c r="O7" s="74"/>
      <c r="P7" s="74"/>
      <c r="Q7" s="74"/>
      <c r="R7" s="74"/>
      <c r="S7" s="74"/>
      <c r="T7" s="75" t="s">
        <v>2</v>
      </c>
      <c r="U7" s="75" t="s">
        <v>71</v>
      </c>
      <c r="V7" s="68"/>
      <c r="W7" s="68"/>
      <c r="X7" s="68"/>
      <c r="Y7" s="68"/>
      <c r="Z7" s="68"/>
      <c r="AA7" s="68"/>
    </row>
    <row r="8" spans="1:27" ht="63.75">
      <c r="A8" s="71">
        <v>5007</v>
      </c>
      <c r="B8" s="73" t="s">
        <v>62</v>
      </c>
      <c r="C8" s="73" t="s">
        <v>148</v>
      </c>
      <c r="D8" s="74" t="s">
        <v>56</v>
      </c>
      <c r="E8" s="74" t="s">
        <v>57</v>
      </c>
      <c r="F8" s="74" t="s">
        <v>58</v>
      </c>
      <c r="G8" s="73" t="s">
        <v>187</v>
      </c>
      <c r="H8" s="73" t="s">
        <v>65</v>
      </c>
      <c r="I8" s="74" t="s">
        <v>56</v>
      </c>
      <c r="J8" s="74" t="s">
        <v>57</v>
      </c>
      <c r="K8" s="74" t="s">
        <v>58</v>
      </c>
      <c r="L8" s="73" t="s">
        <v>187</v>
      </c>
      <c r="M8" s="73" t="s">
        <v>15</v>
      </c>
      <c r="N8" s="74" t="s">
        <v>16</v>
      </c>
      <c r="O8" s="74"/>
      <c r="P8" s="74"/>
      <c r="Q8" s="74"/>
      <c r="R8" s="74"/>
      <c r="S8" s="74"/>
      <c r="T8" s="75" t="s">
        <v>3</v>
      </c>
      <c r="U8" s="75" t="s">
        <v>72</v>
      </c>
      <c r="V8" s="68"/>
      <c r="W8" s="68"/>
      <c r="X8" s="68"/>
      <c r="Y8" s="68"/>
      <c r="Z8" s="68"/>
      <c r="AA8" s="68"/>
    </row>
    <row r="9" spans="1:27" ht="153">
      <c r="A9" s="71">
        <v>5008</v>
      </c>
      <c r="B9" s="73" t="s">
        <v>155</v>
      </c>
      <c r="C9" s="73" t="s">
        <v>64</v>
      </c>
      <c r="D9" s="74" t="s">
        <v>142</v>
      </c>
      <c r="E9" s="74" t="s">
        <v>136</v>
      </c>
      <c r="F9" s="74" t="s">
        <v>135</v>
      </c>
      <c r="G9" s="73" t="s">
        <v>26</v>
      </c>
      <c r="H9" s="73" t="s">
        <v>239</v>
      </c>
      <c r="I9" s="74" t="s">
        <v>142</v>
      </c>
      <c r="J9" s="74" t="s">
        <v>136</v>
      </c>
      <c r="K9" s="74" t="s">
        <v>135</v>
      </c>
      <c r="L9" s="73" t="s">
        <v>240</v>
      </c>
      <c r="M9" s="73" t="s">
        <v>17</v>
      </c>
      <c r="N9" s="74" t="s">
        <v>18</v>
      </c>
      <c r="O9" s="74"/>
      <c r="P9" s="74"/>
      <c r="Q9" s="74"/>
      <c r="R9" s="74"/>
      <c r="S9" s="74"/>
      <c r="T9" s="79" t="s">
        <v>4</v>
      </c>
      <c r="U9" s="75" t="s">
        <v>143</v>
      </c>
      <c r="V9" s="68"/>
      <c r="W9" s="68"/>
      <c r="X9" s="68"/>
      <c r="Y9" s="68"/>
      <c r="Z9" s="68"/>
      <c r="AA9" s="68"/>
    </row>
    <row r="10" spans="1:27" ht="114.75">
      <c r="A10" s="71">
        <v>5009</v>
      </c>
      <c r="B10" s="73" t="s">
        <v>155</v>
      </c>
      <c r="C10" s="73" t="s">
        <v>64</v>
      </c>
      <c r="D10" s="74" t="s">
        <v>59</v>
      </c>
      <c r="E10" s="74" t="s">
        <v>154</v>
      </c>
      <c r="F10" s="74" t="s">
        <v>137</v>
      </c>
      <c r="G10" s="73" t="s">
        <v>26</v>
      </c>
      <c r="H10" s="73" t="s">
        <v>239</v>
      </c>
      <c r="I10" s="74" t="s">
        <v>59</v>
      </c>
      <c r="J10" s="74" t="s">
        <v>154</v>
      </c>
      <c r="K10" s="74" t="s">
        <v>137</v>
      </c>
      <c r="L10" s="73" t="s">
        <v>240</v>
      </c>
      <c r="M10" s="73" t="s">
        <v>241</v>
      </c>
      <c r="N10" s="74" t="s">
        <v>22</v>
      </c>
      <c r="O10" s="74"/>
      <c r="P10" s="74"/>
      <c r="Q10" s="74"/>
      <c r="R10" s="74"/>
      <c r="S10" s="74"/>
      <c r="T10" s="79" t="s">
        <v>5</v>
      </c>
      <c r="U10" s="75" t="s">
        <v>143</v>
      </c>
      <c r="V10" s="68"/>
      <c r="W10" s="68"/>
      <c r="X10" s="68"/>
      <c r="Y10" s="68"/>
      <c r="Z10" s="68"/>
      <c r="AA10" s="68"/>
    </row>
    <row r="11" spans="1:27" ht="306">
      <c r="A11" s="71">
        <v>5010</v>
      </c>
      <c r="B11" s="73" t="s">
        <v>155</v>
      </c>
      <c r="C11" s="73" t="s">
        <v>64</v>
      </c>
      <c r="D11" s="74" t="s">
        <v>30</v>
      </c>
      <c r="E11" s="74" t="s">
        <v>60</v>
      </c>
      <c r="F11" s="74" t="s">
        <v>138</v>
      </c>
      <c r="G11" s="73" t="s">
        <v>26</v>
      </c>
      <c r="H11" s="73" t="s">
        <v>239</v>
      </c>
      <c r="I11" s="74" t="s">
        <v>30</v>
      </c>
      <c r="J11" s="74" t="s">
        <v>60</v>
      </c>
      <c r="K11" s="74" t="s">
        <v>138</v>
      </c>
      <c r="L11" s="73" t="s">
        <v>240</v>
      </c>
      <c r="M11" s="73" t="s">
        <v>17</v>
      </c>
      <c r="N11" s="74" t="s">
        <v>19</v>
      </c>
      <c r="O11" s="74"/>
      <c r="P11" s="74"/>
      <c r="Q11" s="74"/>
      <c r="R11" s="74"/>
      <c r="S11" s="74"/>
      <c r="T11" s="79" t="s">
        <v>6</v>
      </c>
      <c r="U11" s="75" t="s">
        <v>143</v>
      </c>
      <c r="V11" s="68"/>
      <c r="W11" s="68"/>
      <c r="X11" s="68"/>
      <c r="Y11" s="68"/>
      <c r="Z11" s="68"/>
      <c r="AA11" s="68"/>
    </row>
    <row r="12" spans="1:27" ht="63.75">
      <c r="A12" s="71">
        <v>5011</v>
      </c>
      <c r="B12" s="73" t="s">
        <v>155</v>
      </c>
      <c r="C12" s="73" t="s">
        <v>64</v>
      </c>
      <c r="D12" s="74" t="s">
        <v>147</v>
      </c>
      <c r="E12" s="74" t="s">
        <v>61</v>
      </c>
      <c r="F12" s="74" t="s">
        <v>134</v>
      </c>
      <c r="G12" s="73" t="s">
        <v>26</v>
      </c>
      <c r="H12" s="73" t="s">
        <v>239</v>
      </c>
      <c r="I12" s="74" t="s">
        <v>147</v>
      </c>
      <c r="J12" s="74" t="s">
        <v>61</v>
      </c>
      <c r="K12" s="74" t="s">
        <v>134</v>
      </c>
      <c r="L12" s="73" t="s">
        <v>240</v>
      </c>
      <c r="M12" s="73" t="s">
        <v>241</v>
      </c>
      <c r="N12" s="74" t="s">
        <v>20</v>
      </c>
      <c r="O12" s="74"/>
      <c r="P12" s="74"/>
      <c r="Q12" s="74"/>
      <c r="R12" s="74"/>
      <c r="S12" s="74"/>
      <c r="T12" s="75" t="s">
        <v>7</v>
      </c>
      <c r="U12" s="75" t="s">
        <v>143</v>
      </c>
      <c r="V12" s="68"/>
      <c r="W12" s="68"/>
      <c r="X12" s="68"/>
      <c r="Y12" s="68"/>
      <c r="Z12" s="68"/>
      <c r="AA12" s="68"/>
    </row>
  </sheetData>
  <sheetProtection/>
  <autoFilter ref="A1:AB12"/>
  <conditionalFormatting sqref="X1:AB1">
    <cfRule type="expression" priority="1" dxfId="1" stopIfTrue="1">
      <formula>AND($S1="Closed",$Y1="Done")</formula>
    </cfRule>
    <cfRule type="expression" priority="2" dxfId="0" stopIfTrue="1">
      <formula>$S1="Closed"</formula>
    </cfRule>
  </conditionalFormatting>
  <conditionalFormatting sqref="A1:W1">
    <cfRule type="expression" priority="3" dxfId="15" stopIfTrue="1">
      <formula>AND($S1="Closed",$Z1="Done")</formula>
    </cfRule>
    <cfRule type="expression" priority="4" dxfId="16" stopIfTrue="1">
      <formula>$S1="Closed"</formula>
    </cfRule>
  </conditionalFormatting>
  <conditionalFormatting sqref="A2:AA12">
    <cfRule type="expression" priority="5" dxfId="15" stopIfTrue="1">
      <formula>AND($S2="Closed",$Y2="Done")</formula>
    </cfRule>
    <cfRule type="expression" priority="6" dxfId="16" stopIfTrue="1">
      <formula>$S2="Closed"</formula>
    </cfRule>
    <cfRule type="expression" priority="7"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0"/>
  <sheetViews>
    <sheetView zoomScalePageLayoutView="0" workbookViewId="0" topLeftCell="A1">
      <selection activeCell="K8" sqref="K8"/>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43" customFormat="1" ht="23.25">
      <c r="A1" s="43" t="s">
        <v>125</v>
      </c>
    </row>
    <row r="3" spans="1:9" s="44" customFormat="1" ht="18">
      <c r="A3" s="44" t="s">
        <v>188</v>
      </c>
      <c r="D3" s="62" t="s">
        <v>174</v>
      </c>
      <c r="E3" s="62" t="s">
        <v>175</v>
      </c>
      <c r="F3" s="62" t="s">
        <v>198</v>
      </c>
      <c r="G3" s="44" t="s">
        <v>151</v>
      </c>
      <c r="H3" s="44" t="s">
        <v>152</v>
      </c>
      <c r="I3" s="44" t="s">
        <v>153</v>
      </c>
    </row>
    <row r="4" spans="2:9" ht="12.75">
      <c r="B4" t="s">
        <v>173</v>
      </c>
      <c r="C4" t="s">
        <v>82</v>
      </c>
      <c r="D4">
        <f>COUNTIF(Comments!$N$2:$N$12,B4)</f>
        <v>0</v>
      </c>
      <c r="E4" s="60">
        <f>SUMPRODUCT((Comments!$N$2:$N$12=B4)*(Comments!$S$2:$S$12="Closed"))</f>
        <v>0</v>
      </c>
      <c r="F4">
        <f aca="true" t="shared" si="0" ref="F4:F12">D4-E4</f>
        <v>0</v>
      </c>
      <c r="H4" s="60">
        <f>SUMPRODUCT((Comments!$N$2:$N$12=B4)*(Comments!$V$2:$V$12="Accept"))+SUMPRODUCT((Comments!$N$2:$N$12=B4)*(Comments!$V$2:$V$12="Counter"))+SUMPRODUCT((Comments!$N$2:$N$12=B4)*(Comments!$V$2:$V$12="Reject"))</f>
        <v>0</v>
      </c>
      <c r="I4" s="78">
        <f aca="true" t="shared" si="1" ref="I4:I12">D4-H4</f>
        <v>0</v>
      </c>
    </row>
    <row r="5" spans="2:9" ht="12.75">
      <c r="B5" t="s">
        <v>204</v>
      </c>
      <c r="C5" t="s">
        <v>248</v>
      </c>
      <c r="D5">
        <f>COUNTIF(Comments!$N$2:$N$12,B5)</f>
        <v>0</v>
      </c>
      <c r="E5" s="60">
        <f>SUMPRODUCT((Comments!$N$2:$N$12=B5)*(Comments!$S$2:$S$12="Closed"))</f>
        <v>0</v>
      </c>
      <c r="F5">
        <f t="shared" si="0"/>
        <v>0</v>
      </c>
      <c r="H5" s="60">
        <f>SUMPRODUCT((Comments!$N$2:$N$12=B5)*(Comments!$V$2:$V$12="Accept"))+SUMPRODUCT((Comments!$N$2:$N$12=B5)*(Comments!$V$2:$V$12="Counter"))+SUMPRODUCT((Comments!$N$2:$N$12=B5)*(Comments!$V$2:$V$12="Reject"))</f>
        <v>0</v>
      </c>
      <c r="I5" s="78">
        <f t="shared" si="1"/>
        <v>0</v>
      </c>
    </row>
    <row r="6" spans="2:9" ht="12.75">
      <c r="B6" t="s">
        <v>79</v>
      </c>
      <c r="D6">
        <f>COUNTIF(Comments!$N$2:$N$12,B6)</f>
        <v>0</v>
      </c>
      <c r="E6" s="60">
        <f>SUMPRODUCT((Comments!$N$2:$N$12=B6)*(Comments!$S$2:$S$12="Closed"))</f>
        <v>0</v>
      </c>
      <c r="F6">
        <f t="shared" si="0"/>
        <v>0</v>
      </c>
      <c r="H6" s="60">
        <f>SUMPRODUCT((Comments!$N$2:$N$12=B6)*(Comments!$V$2:$V$12="Accept"))+SUMPRODUCT((Comments!$N$2:$N$12=B6)*(Comments!$V$2:$V$12="Counter"))+SUMPRODUCT((Comments!$N$2:$N$12=B6)*(Comments!$V$2:$V$12="Reject"))</f>
        <v>0</v>
      </c>
      <c r="I6" s="78">
        <f t="shared" si="1"/>
        <v>0</v>
      </c>
    </row>
    <row r="7" spans="2:9" ht="12.75">
      <c r="B7" t="s">
        <v>205</v>
      </c>
      <c r="C7" t="s">
        <v>246</v>
      </c>
      <c r="D7">
        <f>COUNTIF(Comments!$N$2:$N$12,B7)</f>
        <v>2</v>
      </c>
      <c r="E7" s="60">
        <f>SUMPRODUCT((Comments!$N$2:$N$12=B7)*(Comments!$S$2:$S$12="Closed"))</f>
        <v>0</v>
      </c>
      <c r="F7">
        <f t="shared" si="0"/>
        <v>2</v>
      </c>
      <c r="H7" s="60">
        <f>SUMPRODUCT((Comments!$N$2:$N$12=B7)*(Comments!$V$2:$V$12="Accept"))+SUMPRODUCT((Comments!$N$2:$N$12=B7)*(Comments!$V$2:$V$12="Counter"))+SUMPRODUCT((Comments!$N$2:$N$12=B7)*(Comments!$V$2:$V$12="Reject"))</f>
        <v>0</v>
      </c>
      <c r="I7" s="78">
        <f t="shared" si="1"/>
        <v>2</v>
      </c>
    </row>
    <row r="8" spans="2:9" ht="12.75">
      <c r="B8" t="s">
        <v>80</v>
      </c>
      <c r="C8" t="s">
        <v>81</v>
      </c>
      <c r="D8">
        <f>COUNTIF(Comments!$N$2:$N$12,B8)</f>
        <v>2</v>
      </c>
      <c r="E8" s="60">
        <f>SUMPRODUCT((Comments!$N$2:$N$12=B8)*(Comments!$S$2:$S$12="Closed"))</f>
        <v>0</v>
      </c>
      <c r="F8">
        <f t="shared" si="0"/>
        <v>2</v>
      </c>
      <c r="H8" s="60">
        <f>SUMPRODUCT((Comments!$N$2:$N$12=B8)*(Comments!$V$2:$V$12="Accept"))+SUMPRODUCT((Comments!$N$2:$N$12=B8)*(Comments!$V$2:$V$12="Counter"))+SUMPRODUCT((Comments!$N$2:$N$12=B8)*(Comments!$V$2:$V$12="Reject"))</f>
        <v>0</v>
      </c>
      <c r="I8" s="78">
        <f t="shared" si="1"/>
        <v>2</v>
      </c>
    </row>
    <row r="9" spans="2:9" ht="12.75">
      <c r="B9" t="s">
        <v>199</v>
      </c>
      <c r="D9">
        <f>COUNTIF(Comments!$N$2:$N$12,B9)</f>
        <v>1</v>
      </c>
      <c r="E9" s="60">
        <f>SUMPRODUCT((Comments!$N$2:$N$12=B9)*(Comments!$S$2:$S$12="Closed"))</f>
        <v>0</v>
      </c>
      <c r="F9">
        <f t="shared" si="0"/>
        <v>1</v>
      </c>
      <c r="H9" s="60">
        <f>SUMPRODUCT((Comments!$N$2:$N$12=B9)*(Comments!$V$2:$V$12="Accept"))+SUMPRODUCT((Comments!$N$2:$N$12=B9)*(Comments!$V$2:$V$12="Counter"))+SUMPRODUCT((Comments!$N$2:$N$12=B9)*(Comments!$V$2:$V$12="Reject"))</f>
        <v>0</v>
      </c>
      <c r="I9" s="78">
        <f t="shared" si="1"/>
        <v>1</v>
      </c>
    </row>
    <row r="10" spans="2:9" ht="12.75">
      <c r="B10" t="s">
        <v>244</v>
      </c>
      <c r="C10" t="s">
        <v>245</v>
      </c>
      <c r="D10">
        <f>COUNTIF(Comments!$N$2:$N$12,B10)</f>
        <v>0</v>
      </c>
      <c r="E10" s="60">
        <f>SUMPRODUCT((Comments!$N$2:$N$12=B10)*(Comments!$S$2:$S$12="Closed"))</f>
        <v>0</v>
      </c>
      <c r="F10">
        <f t="shared" si="0"/>
        <v>0</v>
      </c>
      <c r="H10" s="60">
        <f>SUMPRODUCT((Comments!$N$2:$N$12=B10)*(Comments!$V$2:$V$12="Accept"))+SUMPRODUCT((Comments!$N$2:$N$12=B10)*(Comments!$V$2:$V$12="Counter"))+SUMPRODUCT((Comments!$N$2:$N$12=B10)*(Comments!$V$2:$V$12="Reject"))</f>
        <v>0</v>
      </c>
      <c r="I10" s="78">
        <f t="shared" si="1"/>
        <v>0</v>
      </c>
    </row>
    <row r="11" spans="2:9" ht="12.75">
      <c r="B11" t="s">
        <v>227</v>
      </c>
      <c r="D11">
        <f>COUNTIF(Comments!$N$2:$N$12,B11)</f>
        <v>0</v>
      </c>
      <c r="E11" s="60">
        <f>SUMPRODUCT((Comments!$N$2:$N$12=B11)*(Comments!$S$2:$S$12="Closed"))</f>
        <v>0</v>
      </c>
      <c r="F11">
        <f t="shared" si="0"/>
        <v>0</v>
      </c>
      <c r="H11" s="60">
        <f>SUMPRODUCT((Comments!$N$2:$N$12=B11)*(Comments!$V$2:$V$12="Accept"))+SUMPRODUCT((Comments!$N$2:$N$12=B11)*(Comments!$V$2:$V$12="Counter"))+SUMPRODUCT((Comments!$N$2:$N$12=B11)*(Comments!$V$2:$V$12="Reject"))</f>
        <v>0</v>
      </c>
      <c r="I11" s="78">
        <f t="shared" si="1"/>
        <v>0</v>
      </c>
    </row>
    <row r="12" spans="2:9" ht="12.75">
      <c r="B12" t="s">
        <v>169</v>
      </c>
      <c r="D12">
        <f>COUNTIF(Comments!$N$2:$N$12,B12)</f>
        <v>0</v>
      </c>
      <c r="E12" s="60">
        <f>SUMPRODUCT((Comments!$N$2:$N$12=B12)*(Comments!$S$2:$S$12="Closed"))</f>
        <v>0</v>
      </c>
      <c r="F12">
        <f t="shared" si="0"/>
        <v>0</v>
      </c>
      <c r="H12" s="60">
        <f>SUMPRODUCT((Comments!$N$2:$N$12=B12)*(Comments!$V$2:$V$12="Accept"))+SUMPRODUCT((Comments!$N$2:$N$12=B12)*(Comments!$V$2:$V$12="Counter"))+SUMPRODUCT((Comments!$N$2:$N$12=B12)*(Comments!$V$2:$V$12="Reject"))</f>
        <v>0</v>
      </c>
      <c r="I12" s="78">
        <f t="shared" si="1"/>
        <v>0</v>
      </c>
    </row>
    <row r="13" spans="4:9" ht="12.75">
      <c r="D13">
        <f>SUM(D4:D12)</f>
        <v>5</v>
      </c>
      <c r="E13">
        <f>SUM(E4:E12)</f>
        <v>0</v>
      </c>
      <c r="F13">
        <f>SUM(F4:F12)</f>
        <v>5</v>
      </c>
      <c r="H13">
        <f>SUM(H4:H12)</f>
        <v>0</v>
      </c>
      <c r="I13">
        <f>SUM(I4:I12)</f>
        <v>5</v>
      </c>
    </row>
    <row r="14" s="44" customFormat="1" ht="18">
      <c r="A14" s="44" t="s">
        <v>202</v>
      </c>
    </row>
    <row r="15" spans="2:9" ht="12.75">
      <c r="B15" t="s">
        <v>207</v>
      </c>
      <c r="C15" t="s">
        <v>208</v>
      </c>
      <c r="D15">
        <f>COUNTIF(Comments!$N$2:$N$12,B15)</f>
        <v>0</v>
      </c>
      <c r="E15" s="60">
        <f>SUMPRODUCT((Comments!$N$2:$N$12=B15)*(Comments!$S$2:$S$12="Closed"))</f>
        <v>0</v>
      </c>
      <c r="F15">
        <f aca="true" t="shared" si="2" ref="F15:F22">D15-E15</f>
        <v>0</v>
      </c>
      <c r="H15" s="60">
        <f>SUMPRODUCT((Comments!$N$2:$N$12=B15)*(Comments!$V$2:$V$12="Accept"))+SUMPRODUCT((Comments!$N$2:$N$12=B15)*(Comments!$V$2:$V$12="Counter"))+SUMPRODUCT((Comments!$N$2:$N$12=B15)*(Comments!$V$2:$V$12="Reject"))</f>
        <v>0</v>
      </c>
      <c r="I15" s="78">
        <f aca="true" t="shared" si="3" ref="I15:I22">D15-H15</f>
        <v>0</v>
      </c>
    </row>
    <row r="16" spans="2:9" ht="12.75">
      <c r="B16" t="s">
        <v>83</v>
      </c>
      <c r="C16" t="s">
        <v>84</v>
      </c>
      <c r="D16">
        <f>COUNTIF(Comments!$N$2:$N$12,B16)</f>
        <v>0</v>
      </c>
      <c r="E16" s="60">
        <f>SUMPRODUCT((Comments!$N$2:$N$12=B16)*(Comments!$S$2:$S$12="Closed"))</f>
        <v>0</v>
      </c>
      <c r="F16">
        <f t="shared" si="2"/>
        <v>0</v>
      </c>
      <c r="H16" s="60">
        <f>SUMPRODUCT((Comments!$N$2:$N$12=B16)*(Comments!$V$2:$V$12="Accept"))+SUMPRODUCT((Comments!$N$2:$N$12=B16)*(Comments!$V$2:$V$12="Counter"))+SUMPRODUCT((Comments!$N$2:$N$12=B16)*(Comments!$V$2:$V$12="Reject"))</f>
        <v>0</v>
      </c>
      <c r="I16" s="78">
        <f t="shared" si="3"/>
        <v>0</v>
      </c>
    </row>
    <row r="17" spans="2:9" ht="12.75">
      <c r="B17" t="s">
        <v>85</v>
      </c>
      <c r="C17" t="s">
        <v>206</v>
      </c>
      <c r="D17">
        <f>COUNTIF(Comments!$N$2:$N$12,B17)</f>
        <v>0</v>
      </c>
      <c r="E17" s="60">
        <f>SUMPRODUCT((Comments!$N$2:$N$12=B17)*(Comments!$S$2:$S$12="Closed"))</f>
        <v>0</v>
      </c>
      <c r="F17">
        <f t="shared" si="2"/>
        <v>0</v>
      </c>
      <c r="H17" s="60">
        <f>SUMPRODUCT((Comments!$N$2:$N$12=B17)*(Comments!$V$2:$V$12="Accept"))+SUMPRODUCT((Comments!$N$2:$N$12=B17)*(Comments!$V$2:$V$12="Counter"))+SUMPRODUCT((Comments!$N$2:$N$12=B17)*(Comments!$V$2:$V$12="Reject"))</f>
        <v>0</v>
      </c>
      <c r="I17" s="78">
        <f t="shared" si="3"/>
        <v>0</v>
      </c>
    </row>
    <row r="18" spans="2:9" ht="12.75">
      <c r="B18" t="s">
        <v>209</v>
      </c>
      <c r="D18">
        <f>COUNTIF(Comments!$N$2:$N$12,B18)</f>
        <v>0</v>
      </c>
      <c r="E18" s="60">
        <f>SUMPRODUCT((Comments!$N$2:$N$12=B18)*(Comments!$S$2:$S$12="Closed"))</f>
        <v>0</v>
      </c>
      <c r="F18">
        <f t="shared" si="2"/>
        <v>0</v>
      </c>
      <c r="H18" s="60">
        <f>SUMPRODUCT((Comments!$N$2:$N$12=B18)*(Comments!$V$2:$V$12="Accept"))+SUMPRODUCT((Comments!$N$2:$N$12=B18)*(Comments!$V$2:$V$12="Counter"))+SUMPRODUCT((Comments!$N$2:$N$12=B18)*(Comments!$V$2:$V$12="Reject"))</f>
        <v>0</v>
      </c>
      <c r="I18" s="78">
        <f t="shared" si="3"/>
        <v>0</v>
      </c>
    </row>
    <row r="19" spans="2:9" ht="12.75">
      <c r="B19" t="s">
        <v>156</v>
      </c>
      <c r="C19" t="s">
        <v>157</v>
      </c>
      <c r="D19">
        <f>COUNTIF(Comments!$N$2:$N$12,B19)</f>
        <v>3</v>
      </c>
      <c r="E19" s="60">
        <f>SUMPRODUCT((Comments!$N$2:$N$12=B19)*(Comments!$S$2:$S$12="Closed"))</f>
        <v>0</v>
      </c>
      <c r="F19">
        <f t="shared" si="2"/>
        <v>3</v>
      </c>
      <c r="H19" s="60">
        <f>SUMPRODUCT((Comments!$N$2:$N$12=B19)*(Comments!$V$2:$V$12="Accept"))+SUMPRODUCT((Comments!$N$2:$N$12=B19)*(Comments!$V$2:$V$12="Counter"))+SUMPRODUCT((Comments!$N$2:$N$12=B19)*(Comments!$V$2:$V$12="Reject"))</f>
        <v>0</v>
      </c>
      <c r="I19" s="78">
        <f t="shared" si="3"/>
        <v>3</v>
      </c>
    </row>
    <row r="20" spans="2:9" ht="12.75">
      <c r="B20" t="s">
        <v>210</v>
      </c>
      <c r="C20" t="s">
        <v>211</v>
      </c>
      <c r="D20">
        <f>COUNTIF(Comments!$N$2:$N$12,B20)</f>
        <v>0</v>
      </c>
      <c r="E20" s="60">
        <f>SUMPRODUCT((Comments!$N$2:$N$12=B20)*(Comments!$S$2:$S$12="Closed"))</f>
        <v>0</v>
      </c>
      <c r="F20">
        <f t="shared" si="2"/>
        <v>0</v>
      </c>
      <c r="H20" s="60">
        <f>SUMPRODUCT((Comments!$N$2:$N$12=B20)*(Comments!$V$2:$V$12="Accept"))+SUMPRODUCT((Comments!$N$2:$N$12=B20)*(Comments!$V$2:$V$12="Counter"))+SUMPRODUCT((Comments!$N$2:$N$12=B20)*(Comments!$V$2:$V$12="Reject"))</f>
        <v>0</v>
      </c>
      <c r="I20" s="78">
        <f t="shared" si="3"/>
        <v>0</v>
      </c>
    </row>
    <row r="21" spans="2:9" ht="12.75">
      <c r="B21" t="s">
        <v>144</v>
      </c>
      <c r="C21" t="s">
        <v>145</v>
      </c>
      <c r="D21">
        <f>COUNTIF(Comments!$N$2:$N$12,B21)</f>
        <v>0</v>
      </c>
      <c r="E21" s="60">
        <f>SUMPRODUCT((Comments!$N$2:$N$12=B21)*(Comments!$S$2:$S$12="Closed"))</f>
        <v>0</v>
      </c>
      <c r="F21">
        <f>D21-E21</f>
        <v>0</v>
      </c>
      <c r="H21" s="60">
        <f>SUMPRODUCT((Comments!$N$2:$N$12=B21)*(Comments!$V$2:$V$12="Accept"))+SUMPRODUCT((Comments!$N$2:$N$12=B21)*(Comments!$V$2:$V$12="Counter"))+SUMPRODUCT((Comments!$N$2:$N$12=B21)*(Comments!$V$2:$V$12="Reject"))</f>
        <v>0</v>
      </c>
      <c r="I21" s="78">
        <f t="shared" si="3"/>
        <v>0</v>
      </c>
    </row>
    <row r="22" spans="2:9" ht="12.75">
      <c r="B22" t="s">
        <v>158</v>
      </c>
      <c r="C22" t="s">
        <v>159</v>
      </c>
      <c r="D22">
        <f>COUNTIF(Comments!$N$2:$N$12,B22)</f>
        <v>0</v>
      </c>
      <c r="E22" s="60">
        <f>SUMPRODUCT((Comments!$N$2:$N$12=B22)*(Comments!$S$2:$S$12="Closed"))</f>
        <v>0</v>
      </c>
      <c r="F22">
        <f t="shared" si="2"/>
        <v>0</v>
      </c>
      <c r="H22" s="60">
        <f>SUMPRODUCT((Comments!$N$2:$N$12=B22)*(Comments!$V$2:$V$12="Accept"))+SUMPRODUCT((Comments!$N$2:$N$12=B22)*(Comments!$V$2:$V$12="Counter"))+SUMPRODUCT((Comments!$N$2:$N$12=B22)*(Comments!$V$2:$V$12="Reject"))</f>
        <v>0</v>
      </c>
      <c r="I22" s="78">
        <f t="shared" si="3"/>
        <v>0</v>
      </c>
    </row>
    <row r="23" spans="4:9" ht="12.75">
      <c r="D23">
        <f>SUM(D15:D22)</f>
        <v>3</v>
      </c>
      <c r="E23">
        <f>SUM(E15:E22)</f>
        <v>0</v>
      </c>
      <c r="F23">
        <f>SUM(F15:F22)</f>
        <v>3</v>
      </c>
      <c r="H23">
        <f>SUM(H15:H22)</f>
        <v>0</v>
      </c>
      <c r="I23">
        <f>SUM(I15:I22)</f>
        <v>3</v>
      </c>
    </row>
    <row r="24" s="44" customFormat="1" ht="18">
      <c r="A24" s="44" t="s">
        <v>212</v>
      </c>
    </row>
    <row r="25" spans="2:9" ht="12.75">
      <c r="B25" t="s">
        <v>129</v>
      </c>
      <c r="C25" t="s">
        <v>128</v>
      </c>
      <c r="D25">
        <f>COUNTIF(Comments!$N$2:$N$12,B25)</f>
        <v>0</v>
      </c>
      <c r="E25" s="60">
        <f>SUMPRODUCT((Comments!$N$2:$N$12=B25)*(Comments!$S$2:$S$12="Closed"))</f>
        <v>0</v>
      </c>
      <c r="F25">
        <f aca="true" t="shared" si="4" ref="F25:F31">D25-E25</f>
        <v>0</v>
      </c>
      <c r="H25" s="60">
        <f>SUMPRODUCT((Comments!$N$2:$N$12=B25)*(Comments!$V$2:$V$12="Accept"))+SUMPRODUCT((Comments!$N$2:$N$12=B25)*(Comments!$V$2:$V$12="Counter"))+SUMPRODUCT((Comments!$N$2:$N$12=B25)*(Comments!$V$2:$V$12="Reject"))</f>
        <v>0</v>
      </c>
      <c r="I25" s="78">
        <f aca="true" t="shared" si="5" ref="I25:I31">D25-H25</f>
        <v>0</v>
      </c>
    </row>
    <row r="26" spans="2:9" ht="12.75">
      <c r="B26" t="s">
        <v>150</v>
      </c>
      <c r="C26" t="s">
        <v>88</v>
      </c>
      <c r="D26">
        <f>COUNTIF(Comments!$N$2:$N$12,B26)</f>
        <v>0</v>
      </c>
      <c r="E26" s="60">
        <f>SUMPRODUCT((Comments!$N$2:$N$12=B26)*(Comments!$S$2:$S$12="Closed"))</f>
        <v>0</v>
      </c>
      <c r="F26">
        <f t="shared" si="4"/>
        <v>0</v>
      </c>
      <c r="H26" s="60">
        <f>SUMPRODUCT((Comments!$N$2:$N$12=B26)*(Comments!$V$2:$V$12="Accept"))+SUMPRODUCT((Comments!$N$2:$N$12=B26)*(Comments!$V$2:$V$12="Counter"))+SUMPRODUCT((Comments!$N$2:$N$12=B26)*(Comments!$V$2:$V$12="Reject"))</f>
        <v>0</v>
      </c>
      <c r="I26" s="78">
        <f t="shared" si="5"/>
        <v>0</v>
      </c>
    </row>
    <row r="27" spans="2:9" ht="12.75">
      <c r="B27" t="s">
        <v>86</v>
      </c>
      <c r="C27" t="s">
        <v>87</v>
      </c>
      <c r="D27">
        <f>COUNTIF(Comments!$N$2:$N$12,B27)</f>
        <v>1</v>
      </c>
      <c r="E27" s="60">
        <f>SUMPRODUCT((Comments!$N$2:$N$12=B27)*(Comments!$S$2:$S$12="Closed"))</f>
        <v>0</v>
      </c>
      <c r="F27">
        <f t="shared" si="4"/>
        <v>1</v>
      </c>
      <c r="H27" s="60">
        <f>SUMPRODUCT((Comments!$N$2:$N$12=B27)*(Comments!$V$2:$V$12="Accept"))+SUMPRODUCT((Comments!$N$2:$N$12=B27)*(Comments!$V$2:$V$12="Counter"))+SUMPRODUCT((Comments!$N$2:$N$12=B27)*(Comments!$V$2:$V$12="Reject"))</f>
        <v>0</v>
      </c>
      <c r="I27" s="78">
        <f t="shared" si="5"/>
        <v>1</v>
      </c>
    </row>
    <row r="28" spans="2:9" ht="12.75">
      <c r="B28" t="s">
        <v>214</v>
      </c>
      <c r="D28">
        <f>COUNTIF(Comments!$N$2:$N$12,B28)</f>
        <v>0</v>
      </c>
      <c r="E28" s="60">
        <f>SUMPRODUCT((Comments!$N$2:$N$12=B28)*(Comments!$S$2:$S$12="Closed"))</f>
        <v>0</v>
      </c>
      <c r="F28">
        <f t="shared" si="4"/>
        <v>0</v>
      </c>
      <c r="H28" s="60">
        <f>SUMPRODUCT((Comments!$N$2:$N$12=B28)*(Comments!$V$2:$V$12="Accept"))+SUMPRODUCT((Comments!$N$2:$N$12=B28)*(Comments!$V$2:$V$12="Counter"))+SUMPRODUCT((Comments!$N$2:$N$12=B28)*(Comments!$V$2:$V$12="Reject"))</f>
        <v>0</v>
      </c>
      <c r="I28" s="78">
        <f t="shared" si="5"/>
        <v>0</v>
      </c>
    </row>
    <row r="29" spans="2:9" ht="12.75">
      <c r="B29" t="s">
        <v>213</v>
      </c>
      <c r="D29">
        <f>COUNTIF(Comments!$N$2:$N$12,B29)</f>
        <v>1</v>
      </c>
      <c r="E29" s="60">
        <f>SUMPRODUCT((Comments!$N$2:$N$12=B29)*(Comments!$S$2:$S$12="Closed"))</f>
        <v>0</v>
      </c>
      <c r="F29">
        <f t="shared" si="4"/>
        <v>1</v>
      </c>
      <c r="H29" s="60">
        <f>SUMPRODUCT((Comments!$N$2:$N$12=B29)*(Comments!$V$2:$V$12="Accept"))+SUMPRODUCT((Comments!$N$2:$N$12=B29)*(Comments!$V$2:$V$12="Counter"))+SUMPRODUCT((Comments!$N$2:$N$12=B29)*(Comments!$V$2:$V$12="Reject"))</f>
        <v>0</v>
      </c>
      <c r="I29" s="78">
        <f t="shared" si="5"/>
        <v>1</v>
      </c>
    </row>
    <row r="30" spans="2:9" ht="12.75">
      <c r="B30" t="s">
        <v>149</v>
      </c>
      <c r="D30">
        <f>COUNTIF(Comments!$N$2:$N$12,B30)</f>
        <v>1</v>
      </c>
      <c r="E30" s="60">
        <f>SUMPRODUCT((Comments!$N$2:$N$12=B30)*(Comments!$S$2:$S$12="Closed"))</f>
        <v>0</v>
      </c>
      <c r="F30">
        <f t="shared" si="4"/>
        <v>1</v>
      </c>
      <c r="H30" s="60">
        <f>SUMPRODUCT((Comments!$N$2:$N$12=B30)*(Comments!$V$2:$V$12="Accept"))+SUMPRODUCT((Comments!$N$2:$N$12=B30)*(Comments!$V$2:$V$12="Counter"))+SUMPRODUCT((Comments!$N$2:$N$12=B30)*(Comments!$V$2:$V$12="Reject"))</f>
        <v>0</v>
      </c>
      <c r="I30" s="78">
        <f t="shared" si="5"/>
        <v>1</v>
      </c>
    </row>
    <row r="31" spans="2:9" ht="12.75">
      <c r="B31" t="s">
        <v>130</v>
      </c>
      <c r="D31">
        <f>COUNTIF(Comments!$N$2:$N$12,B31)</f>
        <v>0</v>
      </c>
      <c r="E31" s="60">
        <f>SUMPRODUCT((Comments!$N$2:$N$12=B31)*(Comments!$S$2:$S$12="Closed"))</f>
        <v>0</v>
      </c>
      <c r="F31">
        <f t="shared" si="4"/>
        <v>0</v>
      </c>
      <c r="H31" s="60">
        <f>SUMPRODUCT((Comments!$N$2:$N$12=B31)*(Comments!$V$2:$V$12="Accept"))+SUMPRODUCT((Comments!$N$2:$N$12=B31)*(Comments!$V$2:$V$12="Counter"))+SUMPRODUCT((Comments!$N$2:$N$12=B31)*(Comments!$V$2:$V$12="Reject"))</f>
        <v>0</v>
      </c>
      <c r="I31" s="78">
        <f t="shared" si="5"/>
        <v>0</v>
      </c>
    </row>
    <row r="32" spans="4:9" ht="12.75">
      <c r="D32">
        <f>SUM(D25:D31)</f>
        <v>3</v>
      </c>
      <c r="E32">
        <f>SUM(E25:E31)</f>
        <v>0</v>
      </c>
      <c r="F32">
        <f>SUM(F25:F31)</f>
        <v>3</v>
      </c>
      <c r="H32">
        <f>SUM(H25:H31)</f>
        <v>0</v>
      </c>
      <c r="I32">
        <f>SUM(I25:I31)</f>
        <v>3</v>
      </c>
    </row>
    <row r="33" s="44" customFormat="1" ht="18">
      <c r="A33" s="44" t="s">
        <v>93</v>
      </c>
    </row>
    <row r="34" spans="2:9" ht="12.75">
      <c r="B34" t="s">
        <v>223</v>
      </c>
      <c r="D34">
        <f>COUNTIF(Comments!$N$2:$N$12,B34)</f>
        <v>0</v>
      </c>
      <c r="E34" s="60">
        <f>SUMPRODUCT((Comments!$N$2:$N$12=B34)*(Comments!$S$2:$S$12="Closed"))</f>
        <v>0</v>
      </c>
      <c r="F34">
        <f aca="true" t="shared" si="6" ref="F34:F39">D34-E34</f>
        <v>0</v>
      </c>
      <c r="H34" s="60">
        <f>SUMPRODUCT((Comments!$N$2:$N$12=B34)*(Comments!$V$2:$V$12="Accept"))+SUMPRODUCT((Comments!$N$2:$N$12=B34)*(Comments!$V$2:$V$12="Counter"))+SUMPRODUCT((Comments!$N$2:$N$12=B34)*(Comments!$V$2:$V$12="Reject"))</f>
        <v>0</v>
      </c>
      <c r="I34" s="78">
        <f aca="true" t="shared" si="7" ref="I34:I39">D34-H34</f>
        <v>0</v>
      </c>
    </row>
    <row r="35" spans="2:9" ht="12.75">
      <c r="B35" t="s">
        <v>23</v>
      </c>
      <c r="C35" t="s">
        <v>24</v>
      </c>
      <c r="D35">
        <f>COUNTIF(Comments!$N$2:$N$12,B35)</f>
        <v>0</v>
      </c>
      <c r="E35" s="60">
        <f>SUMPRODUCT((Comments!$N$2:$N$12=B35)*(Comments!$S$2:$S$12="Closed"))</f>
        <v>0</v>
      </c>
      <c r="F35">
        <f>D35-E35</f>
        <v>0</v>
      </c>
      <c r="H35" s="60">
        <f>SUMPRODUCT((Comments!$N$2:$N$12=B35)*(Comments!$V$2:$V$12="Accept"))+SUMPRODUCT((Comments!$N$2:$N$12=B35)*(Comments!$V$2:$V$12="Counter"))+SUMPRODUCT((Comments!$N$2:$N$12=B35)*(Comments!$V$2:$V$12="Reject"))</f>
        <v>0</v>
      </c>
      <c r="I35" s="78">
        <f>D35-H35</f>
        <v>0</v>
      </c>
    </row>
    <row r="36" spans="2:9" ht="12.75">
      <c r="B36" t="s">
        <v>25</v>
      </c>
      <c r="D36">
        <f>COUNTIF(Comments!$N$2:$N$12,B36)</f>
        <v>0</v>
      </c>
      <c r="E36" s="60">
        <f>SUMPRODUCT((Comments!$N$2:$N$12=B36)*(Comments!$S$2:$S$12="Closed"))</f>
        <v>0</v>
      </c>
      <c r="F36">
        <f t="shared" si="6"/>
        <v>0</v>
      </c>
      <c r="H36" s="60">
        <f>SUMPRODUCT((Comments!$N$2:$N$12=B36)*(Comments!$V$2:$V$12="Accept"))+SUMPRODUCT((Comments!$N$2:$N$12=B36)*(Comments!$V$2:$V$12="Counter"))+SUMPRODUCT((Comments!$N$2:$N$12=B36)*(Comments!$V$2:$V$12="Reject"))</f>
        <v>0</v>
      </c>
      <c r="I36" s="78">
        <f t="shared" si="7"/>
        <v>0</v>
      </c>
    </row>
    <row r="37" spans="2:9" ht="12.75">
      <c r="B37" t="s">
        <v>242</v>
      </c>
      <c r="C37" t="s">
        <v>243</v>
      </c>
      <c r="D37">
        <f>COUNTIF(Comments!$N$2:$N$12,B37)</f>
        <v>0</v>
      </c>
      <c r="E37" s="60">
        <f>SUMPRODUCT((Comments!$N$2:$N$12=B37)*(Comments!$S$2:$S$12="Closed"))</f>
        <v>0</v>
      </c>
      <c r="F37">
        <f t="shared" si="6"/>
        <v>0</v>
      </c>
      <c r="H37" s="60">
        <f>SUMPRODUCT((Comments!$N$2:$N$12=B37)*(Comments!$V$2:$V$12="Accept"))+SUMPRODUCT((Comments!$N$2:$N$12=B37)*(Comments!$V$2:$V$12="Counter"))+SUMPRODUCT((Comments!$N$2:$N$12=B37)*(Comments!$V$2:$V$12="Reject"))</f>
        <v>0</v>
      </c>
      <c r="I37" s="78">
        <f t="shared" si="7"/>
        <v>0</v>
      </c>
    </row>
    <row r="38" spans="2:9" ht="12.75">
      <c r="B38" t="s">
        <v>95</v>
      </c>
      <c r="C38" t="s">
        <v>94</v>
      </c>
      <c r="D38">
        <f>COUNTIF(Comments!$N$2:$N$12,B38)</f>
        <v>0</v>
      </c>
      <c r="E38" s="60">
        <f>SUMPRODUCT((Comments!$N$2:$N$12=B38)*(Comments!$S$2:$S$12="Closed"))</f>
        <v>0</v>
      </c>
      <c r="F38">
        <f t="shared" si="6"/>
        <v>0</v>
      </c>
      <c r="H38" s="60">
        <f>SUMPRODUCT((Comments!$N$2:$N$12=B38)*(Comments!$V$2:$V$12="Accept"))+SUMPRODUCT((Comments!$N$2:$N$12=B38)*(Comments!$V$2:$V$12="Counter"))+SUMPRODUCT((Comments!$N$2:$N$12=B38)*(Comments!$V$2:$V$12="Reject"))</f>
        <v>0</v>
      </c>
      <c r="I38" s="78">
        <f t="shared" si="7"/>
        <v>0</v>
      </c>
    </row>
    <row r="39" spans="2:9" ht="12.75">
      <c r="B39" t="s">
        <v>96</v>
      </c>
      <c r="C39" t="s">
        <v>247</v>
      </c>
      <c r="D39">
        <f>COUNTIF(Comments!$N$2:$N$12,B39)</f>
        <v>0</v>
      </c>
      <c r="E39" s="60">
        <f>SUMPRODUCT((Comments!$N$2:$N$12=B39)*(Comments!$S$2:$S$12="Closed"))</f>
        <v>0</v>
      </c>
      <c r="F39">
        <f t="shared" si="6"/>
        <v>0</v>
      </c>
      <c r="H39" s="60">
        <f>SUMPRODUCT((Comments!$N$2:$N$12=B39)*(Comments!$V$2:$V$12="Accept"))+SUMPRODUCT((Comments!$N$2:$N$12=B39)*(Comments!$V$2:$V$12="Counter"))+SUMPRODUCT((Comments!$N$2:$N$12=B39)*(Comments!$V$2:$V$12="Reject"))</f>
        <v>0</v>
      </c>
      <c r="I39" s="78">
        <f t="shared" si="7"/>
        <v>0</v>
      </c>
    </row>
    <row r="40" spans="4:9" ht="12.75">
      <c r="D40">
        <f>SUM(D34:D39)</f>
        <v>0</v>
      </c>
      <c r="E40">
        <f>SUM(E34:E39)</f>
        <v>0</v>
      </c>
      <c r="F40">
        <f>SUM(F34:F39)</f>
        <v>0</v>
      </c>
      <c r="H40">
        <f>SUM(H34:H39)</f>
        <v>0</v>
      </c>
      <c r="I40">
        <f>SUM(I34:I39)</f>
        <v>0</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D16" sqref="D16"/>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124</v>
      </c>
    </row>
    <row r="2" ht="12.75">
      <c r="I2" s="50"/>
    </row>
    <row r="3" ht="13.5" thickBot="1"/>
    <row r="4" spans="2:6" ht="14.25" thickBot="1" thickTop="1">
      <c r="B4" s="32" t="s">
        <v>77</v>
      </c>
      <c r="C4" s="33" t="s">
        <v>89</v>
      </c>
      <c r="D4" s="33" t="s">
        <v>120</v>
      </c>
      <c r="E4" s="33" t="s">
        <v>121</v>
      </c>
      <c r="F4" s="34" t="s">
        <v>90</v>
      </c>
    </row>
    <row r="5" spans="2:6" ht="13.5" thickTop="1">
      <c r="B5" s="35" t="s">
        <v>167</v>
      </c>
      <c r="C5" s="36">
        <f>C6+C7</f>
        <v>11</v>
      </c>
      <c r="D5" s="36">
        <f>D6+D7</f>
        <v>0</v>
      </c>
      <c r="E5" s="36">
        <f>E6+E7</f>
        <v>0</v>
      </c>
      <c r="F5" s="37">
        <f aca="true" t="shared" si="0" ref="F5:F12">E5/C5</f>
        <v>0</v>
      </c>
    </row>
    <row r="6" spans="2:6" ht="12.75">
      <c r="B6" s="35" t="s">
        <v>200</v>
      </c>
      <c r="C6" s="36">
        <f>COUNTIF(Comments!$L$2:$L$12,"E")</f>
        <v>4</v>
      </c>
      <c r="D6" s="41">
        <f>SUMPRODUCT((Comments!$L$2:$L$12="E")*(Comments!$S$2:$S$12="Open"))</f>
        <v>0</v>
      </c>
      <c r="E6" s="41">
        <f>SUMPRODUCT((Comments!$L$2:$L$12="E")*(Comments!$S$2:$S$12="Closed"))</f>
        <v>0</v>
      </c>
      <c r="F6" s="37">
        <f t="shared" si="0"/>
        <v>0</v>
      </c>
    </row>
    <row r="7" spans="2:6" ht="13.5" thickBot="1">
      <c r="B7" s="38" t="s">
        <v>201</v>
      </c>
      <c r="C7" s="36">
        <f>COUNTIF(Comments!$L$2:$L$12,"T")</f>
        <v>7</v>
      </c>
      <c r="D7" s="42">
        <f>SUMPRODUCT((Comments!$L$2:$L$12="T")*(Comments!$S$2:$S$12="Open"))</f>
        <v>0</v>
      </c>
      <c r="E7" s="42">
        <f>SUMPRODUCT((Comments!$L$2:$L$12="T")*(Comments!$S$2:$S$12="Closed"))</f>
        <v>0</v>
      </c>
      <c r="F7" s="40">
        <f t="shared" si="0"/>
        <v>0</v>
      </c>
    </row>
    <row r="8" spans="2:6" ht="13.5" thickTop="1">
      <c r="B8" s="35" t="s">
        <v>167</v>
      </c>
      <c r="C8" s="46">
        <f>SUM(C9:C12)</f>
        <v>11</v>
      </c>
      <c r="D8" s="46">
        <f>SUM(D9:D12)</f>
        <v>0</v>
      </c>
      <c r="E8" s="46">
        <f>SUM(E9:E12)</f>
        <v>0</v>
      </c>
      <c r="F8" s="49">
        <f>E8/C8</f>
        <v>0</v>
      </c>
    </row>
    <row r="9" spans="2:6" ht="12.75">
      <c r="B9" s="47" t="s">
        <v>170</v>
      </c>
      <c r="C9" s="36">
        <f>COUNTIF(Comments!$M$2:$M$12,"General")</f>
        <v>5</v>
      </c>
      <c r="D9" s="60">
        <f>SUMPRODUCT((Comments!$M$2:$M$12="General")*(Comments!$S$2:$S$12="Open"))</f>
        <v>0</v>
      </c>
      <c r="E9" s="60">
        <f>SUMPRODUCT((Comments!$M$2:$M$12="General")*(Comments!$S$2:$S$12="Closed"))</f>
        <v>0</v>
      </c>
      <c r="F9" s="37">
        <f t="shared" si="0"/>
        <v>0</v>
      </c>
    </row>
    <row r="10" spans="2:6" ht="12.75">
      <c r="B10" s="47" t="s">
        <v>171</v>
      </c>
      <c r="C10" s="36">
        <f>COUNTIF(Comments!$M$2:$M$12,"MAC")</f>
        <v>3</v>
      </c>
      <c r="D10" s="41">
        <f>SUMPRODUCT((Comments!$M$2:$M$12="MAC")*(Comments!$S$2:$S$12="Open"))</f>
        <v>0</v>
      </c>
      <c r="E10" s="41">
        <f>SUMPRODUCT((Comments!$M$2:$M$12="MAC")*(Comments!$S$2:$S$12="Closed"))</f>
        <v>0</v>
      </c>
      <c r="F10" s="37">
        <f t="shared" si="0"/>
        <v>0</v>
      </c>
    </row>
    <row r="11" spans="2:6" ht="12.75">
      <c r="B11" s="47" t="s">
        <v>131</v>
      </c>
      <c r="C11" s="36">
        <f>COUNTIF(Comments!$M$2:$M$12,"RFI")</f>
        <v>3</v>
      </c>
      <c r="D11" s="41">
        <f>SUMPRODUCT((Comments!$M$2:$M$12="RFI")*(Comments!$S$2:$S$12="Open"))</f>
        <v>0</v>
      </c>
      <c r="E11" s="41">
        <f>SUMPRODUCT((Comments!$M$2:$M$12="RFI")*(Comments!$S$2:$S$12="Closed"))</f>
        <v>0</v>
      </c>
      <c r="F11" s="37">
        <f t="shared" si="0"/>
        <v>0</v>
      </c>
    </row>
    <row r="12" spans="2:6" ht="13.5" thickBot="1">
      <c r="B12" s="48" t="s">
        <v>132</v>
      </c>
      <c r="C12" s="39">
        <f>COUNTIF(Comments!$M$2:$M$12,"Security")</f>
        <v>0</v>
      </c>
      <c r="D12" s="42">
        <f>SUMPRODUCT((Comments!$M$2:$M$12="Security")*(Comments!$S$2:$S$12="Open"))</f>
        <v>0</v>
      </c>
      <c r="E12" s="42">
        <f>SUMPRODUCT((Comments!$M$2:$M$12="Security")*(Comments!$S$2:$S$12="Closed"))</f>
        <v>0</v>
      </c>
      <c r="F12" s="40" t="e">
        <f t="shared" si="0"/>
        <v>#DIV/0!</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C34" sqref="C3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98</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163</v>
      </c>
    </row>
    <row r="5" spans="1:8" ht="12.75">
      <c r="A5" s="31">
        <v>1</v>
      </c>
      <c r="B5" s="31" t="s">
        <v>168</v>
      </c>
      <c r="C5" s="31"/>
      <c r="D5" s="31"/>
      <c r="E5" s="31"/>
      <c r="F5" s="31"/>
      <c r="G5" s="31"/>
      <c r="H5" s="31"/>
    </row>
    <row r="6" ht="12.75">
      <c r="A6" s="31"/>
    </row>
    <row r="7" spans="1:2" ht="12.75">
      <c r="A7" s="31">
        <v>2</v>
      </c>
      <c r="B7" s="31" t="s">
        <v>220</v>
      </c>
    </row>
    <row r="8" ht="12.75">
      <c r="A8" s="31"/>
    </row>
    <row r="9" spans="1:3" ht="12.75">
      <c r="A9" s="31">
        <v>3</v>
      </c>
      <c r="B9" s="31" t="s">
        <v>172</v>
      </c>
      <c r="C9" s="31"/>
    </row>
    <row r="10" spans="1:3" ht="12.75">
      <c r="A10" s="31"/>
      <c r="B10" s="31"/>
      <c r="C10" s="31" t="s">
        <v>164</v>
      </c>
    </row>
    <row r="11" spans="1:3" ht="12.75">
      <c r="A11" s="31"/>
      <c r="B11" s="31"/>
      <c r="C11" s="31" t="s">
        <v>165</v>
      </c>
    </row>
    <row r="12" spans="1:3" ht="12.75">
      <c r="A12" s="31"/>
      <c r="B12" s="31"/>
      <c r="C12" s="31" t="s">
        <v>166</v>
      </c>
    </row>
    <row r="13" spans="1:3" ht="12.75">
      <c r="A13" s="31"/>
      <c r="B13" s="31"/>
      <c r="C13" s="31" t="s">
        <v>203</v>
      </c>
    </row>
    <row r="14" spans="1:3" ht="12.75">
      <c r="A14" s="31"/>
      <c r="B14" s="31"/>
      <c r="C14" s="31" t="s">
        <v>221</v>
      </c>
    </row>
    <row r="15" ht="12.75">
      <c r="A15" s="31"/>
    </row>
    <row r="16" spans="1:2" ht="12.75">
      <c r="A16" s="31">
        <v>4</v>
      </c>
      <c r="B16" s="31" t="s">
        <v>229</v>
      </c>
    </row>
    <row r="17" spans="1:2" ht="12.75">
      <c r="A17" s="31"/>
      <c r="B17" s="31" t="s">
        <v>78</v>
      </c>
    </row>
    <row r="18" ht="12.75">
      <c r="A18" s="31"/>
    </row>
    <row r="19" spans="1:3" ht="12.75">
      <c r="A19" s="31">
        <v>5</v>
      </c>
      <c r="B19" s="31" t="s">
        <v>76</v>
      </c>
      <c r="C19" s="31"/>
    </row>
    <row r="20" spans="1:3" ht="12.75">
      <c r="A20" s="31"/>
      <c r="B20" s="31"/>
      <c r="C20" s="31"/>
    </row>
    <row r="21" spans="1:3" ht="12.75">
      <c r="A21" s="31">
        <v>6</v>
      </c>
      <c r="B21" s="31" t="s">
        <v>226</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235</v>
      </c>
      <c r="B1" s="19"/>
    </row>
    <row r="2" spans="1:2" ht="13.5" thickBot="1">
      <c r="A2" s="20" t="s">
        <v>236</v>
      </c>
      <c r="B2" s="21" t="s">
        <v>237</v>
      </c>
    </row>
    <row r="3" spans="1:2" ht="25.5">
      <c r="A3" s="22" t="s">
        <v>108</v>
      </c>
      <c r="B3" s="23" t="s">
        <v>230</v>
      </c>
    </row>
    <row r="4" spans="1:2" ht="12.75">
      <c r="A4" s="24" t="s">
        <v>176</v>
      </c>
      <c r="B4" s="25" t="s">
        <v>231</v>
      </c>
    </row>
    <row r="5" spans="1:2" ht="12.75">
      <c r="A5" s="26" t="s">
        <v>183</v>
      </c>
      <c r="B5" s="25" t="s">
        <v>232</v>
      </c>
    </row>
    <row r="6" spans="1:2" ht="12.75">
      <c r="A6" s="26" t="s">
        <v>122</v>
      </c>
      <c r="B6" s="25" t="s">
        <v>233</v>
      </c>
    </row>
    <row r="7" spans="1:2" ht="12.75">
      <c r="A7" s="26" t="s">
        <v>123</v>
      </c>
      <c r="B7" s="25" t="s">
        <v>194</v>
      </c>
    </row>
    <row r="8" spans="1:2" ht="12.75">
      <c r="A8" s="24" t="s">
        <v>182</v>
      </c>
      <c r="B8" s="25" t="s">
        <v>195</v>
      </c>
    </row>
    <row r="9" spans="1:2" ht="12.75">
      <c r="A9" s="24" t="s">
        <v>196</v>
      </c>
      <c r="B9" s="25" t="s">
        <v>238</v>
      </c>
    </row>
    <row r="10" spans="1:2" ht="76.5">
      <c r="A10" s="24" t="s">
        <v>218</v>
      </c>
      <c r="B10" s="25" t="s">
        <v>249</v>
      </c>
    </row>
    <row r="11" spans="1:2" ht="25.5">
      <c r="A11" s="24" t="s">
        <v>219</v>
      </c>
      <c r="B11" s="25" t="s">
        <v>119</v>
      </c>
    </row>
    <row r="12" spans="1:2" ht="25.5">
      <c r="A12" s="24" t="s">
        <v>115</v>
      </c>
      <c r="B12" s="25" t="s">
        <v>217</v>
      </c>
    </row>
    <row r="13" spans="1:2" ht="25.5">
      <c r="A13" s="24" t="s">
        <v>116</v>
      </c>
      <c r="B13" s="25" t="s">
        <v>197</v>
      </c>
    </row>
    <row r="14" spans="1:2" ht="25.5">
      <c r="A14" s="24" t="s">
        <v>117</v>
      </c>
      <c r="B14" s="25" t="s">
        <v>234</v>
      </c>
    </row>
    <row r="15" spans="1:2" ht="12.75">
      <c r="A15" s="24" t="s">
        <v>101</v>
      </c>
      <c r="B15" s="25" t="s">
        <v>92</v>
      </c>
    </row>
    <row r="16" spans="1:2" ht="12.75">
      <c r="A16" s="27" t="s">
        <v>118</v>
      </c>
      <c r="B16" s="25" t="s">
        <v>224</v>
      </c>
    </row>
    <row r="17" spans="1:2" ht="12.75">
      <c r="A17" s="24" t="s">
        <v>225</v>
      </c>
      <c r="B17" s="25" t="s">
        <v>179</v>
      </c>
    </row>
    <row r="18" spans="1:2" ht="25.5">
      <c r="A18" s="24" t="s">
        <v>180</v>
      </c>
      <c r="B18" s="25" t="s">
        <v>181</v>
      </c>
    </row>
    <row r="19" spans="1:2" ht="76.5">
      <c r="A19" s="24" t="s">
        <v>110</v>
      </c>
      <c r="B19" s="25" t="s">
        <v>177</v>
      </c>
    </row>
    <row r="20" spans="1:2" ht="12.75">
      <c r="A20" s="24" t="s">
        <v>111</v>
      </c>
      <c r="B20" s="25" t="s">
        <v>178</v>
      </c>
    </row>
    <row r="21" spans="1:2" ht="38.25">
      <c r="A21" s="28" t="s">
        <v>112</v>
      </c>
      <c r="B21" s="29" t="s">
        <v>216</v>
      </c>
    </row>
    <row r="22" spans="1:2" ht="38.25">
      <c r="A22" s="31" t="s">
        <v>91</v>
      </c>
      <c r="B22" s="29" t="s">
        <v>228</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3"/>
  <sheetViews>
    <sheetView zoomScalePageLayoutView="0" workbookViewId="0" topLeftCell="A1">
      <pane ySplit="1" topLeftCell="BM2" activePane="bottomLeft" state="frozen"/>
      <selection pane="topLeft" activeCell="A1" sqref="A1"/>
      <selection pane="bottomLeft" activeCell="B4" sqref="B4"/>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99</v>
      </c>
      <c r="B1" s="15" t="s">
        <v>100</v>
      </c>
      <c r="C1" s="16" t="s">
        <v>126</v>
      </c>
    </row>
    <row r="3" spans="1:3" ht="38.25">
      <c r="A3" s="17" t="s">
        <v>127</v>
      </c>
      <c r="B3" s="13">
        <v>40428</v>
      </c>
      <c r="C3" s="12" t="s">
        <v>11</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2010-09-07T02:46:26Z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