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8080" windowHeight="13460" activeTab="4"/>
  </bookViews>
  <sheets>
    <sheet name="Title" sheetId="1" r:id="rId1"/>
    <sheet name="GPSK" sheetId="2" r:id="rId2"/>
    <sheet name="Yahalom" sheetId="3" r:id="rId3"/>
    <sheet name="Yahalom wDHCP" sheetId="4" r:id="rId4"/>
    <sheet name="Parameters" sheetId="5" r:id="rId5"/>
    <sheet name="Chart" sheetId="6" r:id="rId6"/>
    <sheet name="Table" sheetId="7" r:id="rId7"/>
  </sheets>
  <externalReferences>
    <externalReference r:id="rId10"/>
  </externalReferences>
  <definedNames>
    <definedName name="ASSOCREQ_B">'GPSK'!$E$12</definedName>
    <definedName name="ASSOCRESP_B">'GPSK'!$E$16</definedName>
    <definedName name="AUTHREP_B">'GPSK'!$E$8</definedName>
    <definedName name="AUTHREQ_B">'GPSK'!$E$4</definedName>
    <definedName name="EAPGPSK1_B">'GPSK'!$E$32</definedName>
    <definedName name="EAPGPSK2_B">'GPSK'!$E$36</definedName>
    <definedName name="EAPGPSK3_B">'GPSK'!$E$40</definedName>
    <definedName name="EAPGPSK4_B">'GPSK'!$E$44</definedName>
    <definedName name="EAPOLKEY1_B">'GPSK'!$E$52</definedName>
    <definedName name="EAPOLKEY2_B">'GPSK'!$E$56</definedName>
    <definedName name="EAPOLKEY3_B">'GPSK'!$E$60</definedName>
    <definedName name="EAPOLKEY4_B">'GPSK'!$E$64</definedName>
    <definedName name="EAPOLSTART_B">'GPSK'!$E$20</definedName>
    <definedName name="EAPREQID_B">'GPSK'!$E$24</definedName>
    <definedName name="EAPRESPID_B">'GPSK'!$E$28</definedName>
    <definedName name="EAPSUCCESS_B">'GPSK'!$E$48</definedName>
    <definedName name="YAHALOM1_B">'Yahalom wDHCP'!$E$4</definedName>
    <definedName name="YAHALOM2_B">'Yahalom wDHCP'!$E$8</definedName>
    <definedName name="YAHALOM3_B">'Yahalom wDHCP'!$E$12</definedName>
  </definedNames>
  <calcPr fullCalcOnLoad="1"/>
</workbook>
</file>

<file path=xl/sharedStrings.xml><?xml version="1.0" encoding="utf-8"?>
<sst xmlns="http://schemas.openxmlformats.org/spreadsheetml/2006/main" count="405" uniqueCount="195">
  <si>
    <t>Message Exchange</t>
  </si>
  <si>
    <t>EAPOL Start</t>
  </si>
  <si>
    <t>Yahalom-3</t>
  </si>
  <si>
    <t>EAP Req ID</t>
  </si>
  <si>
    <t>EAP Resp ID</t>
  </si>
  <si>
    <t>EAP GPSK-3</t>
  </si>
  <si>
    <t>Connecting Duration</t>
  </si>
  <si>
    <t>EAP GPSK-4</t>
  </si>
  <si>
    <t>SIFS+ACK+DIFS+Backoff</t>
  </si>
  <si>
    <t>EAP GPSK-4</t>
  </si>
  <si>
    <t>EAP Success</t>
  </si>
  <si>
    <t>Processing Time</t>
  </si>
  <si>
    <t>EAP GPSK-2</t>
  </si>
  <si>
    <t>EAP Success</t>
  </si>
  <si>
    <t>Tranfer Time</t>
  </si>
  <si>
    <t>EAPOL Key</t>
  </si>
  <si>
    <t>EAP GPSK-3</t>
  </si>
  <si>
    <t>EAPOL Key</t>
  </si>
  <si>
    <t>802.11 Assoc. Resp. w/piggy back</t>
  </si>
  <si>
    <t>DHCP Discover</t>
  </si>
  <si>
    <t>EAP Success</t>
  </si>
  <si>
    <t>Connecting Duration</t>
  </si>
  <si>
    <t>DHCP Offer</t>
  </si>
  <si>
    <t>SIFS+ACK+DIFS+Backoff</t>
  </si>
  <si>
    <t>Airtime Consumption</t>
  </si>
  <si>
    <t>EAPOL Key</t>
  </si>
  <si>
    <t>DHCP Req</t>
  </si>
  <si>
    <t>DHCP Rep</t>
  </si>
  <si>
    <t>ARP Req</t>
  </si>
  <si>
    <t>ARP Rep</t>
  </si>
  <si>
    <t>Airtime Consumption</t>
  </si>
  <si>
    <t>ARP Req</t>
  </si>
  <si>
    <t>ARP Rep</t>
  </si>
  <si>
    <t>DS1</t>
  </si>
  <si>
    <t>OFDM6</t>
  </si>
  <si>
    <t>OFDM54</t>
  </si>
  <si>
    <t>IEEE802.11i (EAP-GPSK)</t>
  </si>
  <si>
    <t>Optimize EAP-GPSK</t>
  </si>
  <si>
    <t>Optimize EAP-GPSK w/piggy back</t>
  </si>
  <si>
    <t>Yahalom w/piggy back</t>
  </si>
  <si>
    <t>IEEE802.11i (EAP-GPSK)</t>
  </si>
  <si>
    <t>Method</t>
  </si>
  <si>
    <t>Tapas=</t>
  </si>
  <si>
    <t>Tasp=</t>
  </si>
  <si>
    <t>Airtime Consumption</t>
  </si>
  <si>
    <t>with backoff</t>
  </si>
  <si>
    <t>Tapas=</t>
  </si>
  <si>
    <t>Tasp=</t>
  </si>
  <si>
    <t>DS1-CWAVG</t>
  </si>
  <si>
    <t>OFDM6-CWAVG</t>
  </si>
  <si>
    <t>OFDM54-CWAVG</t>
  </si>
  <si>
    <t>SLOT</t>
  </si>
  <si>
    <t>DIFS</t>
  </si>
  <si>
    <t>CWMIN</t>
  </si>
  <si>
    <t>CWMAX</t>
  </si>
  <si>
    <t>Ave. Backoff</t>
  </si>
  <si>
    <t>PREAMBLE</t>
  </si>
  <si>
    <t>PLCP</t>
  </si>
  <si>
    <t>USECPERBYTE</t>
  </si>
  <si>
    <t>IEEE802.11i (EAP-GPSK) + DHCP + ARP</t>
  </si>
  <si>
    <t>Optimized EAP-GPSK + DHCP + ARP (Jouni)</t>
  </si>
  <si>
    <t>Optimized EAP-GPSK w/piggy back</t>
  </si>
  <si>
    <t>Yahalom (piggy back Upper Layer Setup)</t>
  </si>
  <si>
    <t>DS1</t>
  </si>
  <si>
    <t>OFDM6</t>
  </si>
  <si>
    <t>OFDM54</t>
  </si>
  <si>
    <t>Proc. &amp; Transfer</t>
  </si>
  <si>
    <t>DS1</t>
  </si>
  <si>
    <t>OFDM6</t>
  </si>
  <si>
    <t>OFDM54</t>
  </si>
  <si>
    <t>Proc. &amp; Transfer</t>
  </si>
  <si>
    <t>802.11 Probe Req</t>
  </si>
  <si>
    <t>802.11 Probe Req</t>
  </si>
  <si>
    <t>802.11 Probe Req</t>
  </si>
  <si>
    <t>802.11 Probe Resp</t>
  </si>
  <si>
    <t>802.11 Auth Req</t>
  </si>
  <si>
    <t>802.11 Assoc Req</t>
  </si>
  <si>
    <t>802.11 Assoc Req w/piggy back</t>
  </si>
  <si>
    <t>Yahalom-1</t>
  </si>
  <si>
    <t>802.11 Auth Rep</t>
  </si>
  <si>
    <t>802.11 Assoc Resp</t>
  </si>
  <si>
    <t>802.11 Assoc Req</t>
  </si>
  <si>
    <t>Yahalom-2</t>
  </si>
  <si>
    <t>802.11 Assoc Resp</t>
  </si>
  <si>
    <t>Assoc Req</t>
  </si>
  <si>
    <t>Assoc Resp</t>
  </si>
  <si>
    <t>DIFS+backoff</t>
  </si>
  <si>
    <t>EAPOL Start</t>
  </si>
  <si>
    <t>=&gt;</t>
  </si>
  <si>
    <t>EAP Req Identity</t>
  </si>
  <si>
    <t>EAP Resp Identity</t>
  </si>
  <si>
    <t>EAP GPSK-1</t>
  </si>
  <si>
    <t>EAP GPSK-2</t>
  </si>
  <si>
    <t>EAP GPSK-3</t>
  </si>
  <si>
    <t>EAP GPSK-4</t>
  </si>
  <si>
    <t>=&gt;</t>
  </si>
  <si>
    <t>process</t>
  </si>
  <si>
    <t>SIFS</t>
  </si>
  <si>
    <t>&lt;=</t>
  </si>
  <si>
    <t>EAP Success</t>
  </si>
  <si>
    <t>DIFS+backoff</t>
  </si>
  <si>
    <t>EAPOL Key</t>
  </si>
  <si>
    <t>process</t>
  </si>
  <si>
    <t>&lt;=</t>
  </si>
  <si>
    <t>SIFS</t>
  </si>
  <si>
    <t>=&gt;</t>
  </si>
  <si>
    <t>DIFS+backoff</t>
  </si>
  <si>
    <t>process</t>
  </si>
  <si>
    <t>SIFS</t>
  </si>
  <si>
    <t>&lt;=</t>
  </si>
  <si>
    <t>Duration for Auth.</t>
  </si>
  <si>
    <t>If</t>
  </si>
  <si>
    <t>Tstap=</t>
  </si>
  <si>
    <t>Tapp=</t>
  </si>
  <si>
    <t>Tapas=</t>
  </si>
  <si>
    <t>Tasp=</t>
  </si>
  <si>
    <t>Airtime Consumption</t>
  </si>
  <si>
    <t>(Occupied by frames and IFSs)</t>
  </si>
  <si>
    <t>with backoff</t>
  </si>
  <si>
    <t>Duration for Auth.</t>
  </si>
  <si>
    <t>Strengthened Yahalom</t>
  </si>
  <si>
    <t>STA</t>
  </si>
  <si>
    <t>AP</t>
  </si>
  <si>
    <t>AS</t>
  </si>
  <si>
    <t>direction</t>
  </si>
  <si>
    <t>byte</t>
  </si>
  <si>
    <t>usec@DS1</t>
  </si>
  <si>
    <t>usec@OFDM6</t>
  </si>
  <si>
    <t>usec@OFDM54</t>
  </si>
  <si>
    <t>direction</t>
  </si>
  <si>
    <t>Yahalom1</t>
  </si>
  <si>
    <t>process</t>
  </si>
  <si>
    <t>=&gt;</t>
  </si>
  <si>
    <t>SIFS</t>
  </si>
  <si>
    <t>&lt;=</t>
  </si>
  <si>
    <t>Yahalom2</t>
  </si>
  <si>
    <t>&lt;=</t>
  </si>
  <si>
    <t>Yahalom3</t>
  </si>
  <si>
    <t>Tapp=</t>
  </si>
  <si>
    <t>(Occupied by frames and IFSs)</t>
  </si>
  <si>
    <t>with backoff</t>
  </si>
  <si>
    <t>Duration for Auth.</t>
  </si>
  <si>
    <t>If</t>
  </si>
  <si>
    <t>Tstap=</t>
  </si>
  <si>
    <t>Yahalom1</t>
  </si>
  <si>
    <t>Yahalom2</t>
  </si>
  <si>
    <t>If</t>
  </si>
  <si>
    <t>Tstap=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</si>
  <si>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</si>
  <si>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</si>
  <si>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</si>
  <si>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</si>
  <si>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</si>
  <si>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</si>
  <si>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</si>
  <si>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</si>
  <si>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</si>
  <si>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</si>
  <si>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</si>
  <si>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</si>
  <si>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</si>
  <si>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</si>
  <si>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</si>
  <si>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doc.: IEEE 802.11-10/0988r0</t>
  </si>
  <si>
    <t>August 2010</t>
  </si>
  <si>
    <t>Hitoshi Morioka (ROOT)</t>
  </si>
  <si>
    <t>Protocol Comparison</t>
  </si>
  <si>
    <t>2010-08-17</t>
  </si>
  <si>
    <t>Hitoshi Morioka</t>
  </si>
  <si>
    <t>ROOT</t>
  </si>
  <si>
    <t>Ito Bldg. #33, 2-14-38 Tenjin, Chuo-ku, Fukuoka 810-0001 Japan</t>
  </si>
  <si>
    <t>+81-92-771-7630</t>
  </si>
  <si>
    <t>+81-92-771-7630</t>
  </si>
  <si>
    <t>hmorioka@root-hq.com</t>
  </si>
  <si>
    <t>EAP-GPSK</t>
  </si>
  <si>
    <t>STA</t>
  </si>
  <si>
    <t>AP</t>
  </si>
  <si>
    <t>AS</t>
  </si>
  <si>
    <t>direction</t>
  </si>
  <si>
    <t>byte</t>
  </si>
  <si>
    <t>usec@DS1</t>
  </si>
  <si>
    <t>usec@OFDM6</t>
  </si>
  <si>
    <t>usec@OFDM54</t>
  </si>
  <si>
    <t>Auth Req</t>
  </si>
  <si>
    <t>process</t>
  </si>
  <si>
    <t>=&gt;</t>
  </si>
  <si>
    <t>process</t>
  </si>
  <si>
    <t>SIFS</t>
  </si>
  <si>
    <t>802.11 Ack</t>
  </si>
  <si>
    <t>&lt;=</t>
  </si>
  <si>
    <t>DIFS+backoff</t>
  </si>
  <si>
    <t>Auth Rep</t>
  </si>
  <si>
    <t>process</t>
  </si>
  <si>
    <t>SIFS</t>
  </si>
  <si>
    <t>=&gt;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</si>
</sst>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&quot; Tstap&quot;"/>
    <numFmt numFmtId="185" formatCode="#&quot; Tapp&quot;"/>
    <numFmt numFmtId="186" formatCode="#&quot; Tapas&quot;"/>
    <numFmt numFmtId="187" formatCode="#&quot; Tasp&quot;"/>
    <numFmt numFmtId="188" formatCode="#&quot; X STA Process Time&quot;"/>
    <numFmt numFmtId="189" formatCode="0_ "/>
    <numFmt numFmtId="190" formatCode="#&quot; X AP Process Time&quot;"/>
    <numFmt numFmtId="191" formatCode="#&quot; X AP-AS Transfer Time&quot;"/>
    <numFmt numFmtId="192" formatCode="#&quot; X AS Process Time&quot;"/>
    <numFmt numFmtId="193" formatCode="#&quot;us&quot;"/>
    <numFmt numFmtId="194" formatCode="#,###&quot;byte&quot;"/>
    <numFmt numFmtId="195" formatCode="#,###&quot;us&quot;"/>
    <numFmt numFmtId="196" formatCode="#,###,###&quot;μS&quot;"/>
  </numFmts>
  <fonts count="1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1"/>
      <color indexed="22"/>
      <name val="ＭＳ Ｐゴシック"/>
      <family val="0"/>
    </font>
    <font>
      <sz val="11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11"/>
      <color indexed="10"/>
      <name val="ＭＳ Ｐゴシック"/>
      <family val="0"/>
    </font>
    <font>
      <sz val="11"/>
      <color indexed="48"/>
      <name val="ＭＳ Ｐゴシック"/>
      <family val="0"/>
    </font>
    <font>
      <b/>
      <sz val="11"/>
      <color indexed="57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4" fillId="0" borderId="0" xfId="16" applyNumberFormat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189" fontId="7" fillId="0" borderId="0" xfId="0" applyNumberFormat="1" applyFont="1" applyAlignment="1">
      <alignment/>
    </xf>
    <xf numFmtId="186" fontId="0" fillId="0" borderId="0" xfId="0" applyNumberFormat="1" applyAlignment="1">
      <alignment horizontal="center"/>
    </xf>
    <xf numFmtId="189" fontId="0" fillId="0" borderId="0" xfId="0" applyNumberForma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193" fontId="9" fillId="0" borderId="3" xfId="0" applyNumberFormat="1" applyFont="1" applyBorder="1" applyAlignment="1">
      <alignment/>
    </xf>
    <xf numFmtId="193" fontId="9" fillId="0" borderId="4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 horizontal="center"/>
    </xf>
    <xf numFmtId="193" fontId="0" fillId="0" borderId="6" xfId="0" applyNumberFormat="1" applyBorder="1" applyAlignment="1">
      <alignment horizontal="center"/>
    </xf>
    <xf numFmtId="193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193" fontId="0" fillId="0" borderId="0" xfId="0" applyNumberFormat="1" applyBorder="1" applyAlignment="1">
      <alignment/>
    </xf>
    <xf numFmtId="193" fontId="0" fillId="0" borderId="6" xfId="0" applyNumberFormat="1" applyBorder="1" applyAlignment="1">
      <alignment/>
    </xf>
    <xf numFmtId="0" fontId="0" fillId="3" borderId="5" xfId="0" applyFill="1" applyBorder="1" applyAlignment="1">
      <alignment/>
    </xf>
    <xf numFmtId="0" fontId="10" fillId="3" borderId="7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94" fontId="0" fillId="3" borderId="0" xfId="0" applyNumberFormat="1" applyFill="1" applyBorder="1" applyAlignment="1">
      <alignment/>
    </xf>
    <xf numFmtId="195" fontId="0" fillId="3" borderId="0" xfId="0" applyNumberFormat="1" applyFill="1" applyBorder="1" applyAlignment="1">
      <alignment/>
    </xf>
    <xf numFmtId="195" fontId="0" fillId="3" borderId="6" xfId="0" applyNumberForma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6" xfId="0" applyNumberFormat="1" applyFill="1" applyBorder="1" applyAlignment="1">
      <alignment/>
    </xf>
    <xf numFmtId="194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6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/>
    </xf>
    <xf numFmtId="194" fontId="0" fillId="4" borderId="0" xfId="0" applyNumberFormat="1" applyFill="1" applyBorder="1" applyAlignment="1">
      <alignment/>
    </xf>
    <xf numFmtId="195" fontId="0" fillId="4" borderId="0" xfId="0" applyNumberFormat="1" applyFill="1" applyBorder="1" applyAlignment="1">
      <alignment/>
    </xf>
    <xf numFmtId="195" fontId="0" fillId="4" borderId="6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/>
    </xf>
    <xf numFmtId="194" fontId="0" fillId="5" borderId="0" xfId="0" applyNumberFormat="1" applyFill="1" applyBorder="1" applyAlignment="1">
      <alignment/>
    </xf>
    <xf numFmtId="195" fontId="0" fillId="5" borderId="0" xfId="0" applyNumberFormat="1" applyFill="1" applyBorder="1" applyAlignment="1">
      <alignment/>
    </xf>
    <xf numFmtId="195" fontId="0" fillId="5" borderId="6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195" fontId="8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95" fontId="11" fillId="0" borderId="0" xfId="0" applyNumberFormat="1" applyFont="1" applyBorder="1" applyAlignment="1">
      <alignment/>
    </xf>
    <xf numFmtId="195" fontId="11" fillId="0" borderId="6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95" fontId="11" fillId="0" borderId="1" xfId="0" applyNumberFormat="1" applyFont="1" applyBorder="1" applyAlignment="1">
      <alignment/>
    </xf>
    <xf numFmtId="195" fontId="11" fillId="0" borderId="10" xfId="0" applyNumberFormat="1" applyFont="1" applyBorder="1" applyAlignment="1">
      <alignment/>
    </xf>
    <xf numFmtId="195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95" fontId="12" fillId="0" borderId="4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195" fontId="12" fillId="0" borderId="10" xfId="0" applyNumberFormat="1" applyFont="1" applyBorder="1" applyAlignment="1">
      <alignment/>
    </xf>
    <xf numFmtId="0" fontId="0" fillId="4" borderId="8" xfId="0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4" borderId="8" xfId="0" applyFont="1" applyFill="1" applyBorder="1" applyAlignment="1">
      <alignment horizontal="center"/>
    </xf>
    <xf numFmtId="193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93" fontId="11" fillId="0" borderId="0" xfId="0" applyNumberFormat="1" applyFont="1" applyAlignment="1">
      <alignment/>
    </xf>
    <xf numFmtId="193" fontId="11" fillId="0" borderId="0" xfId="0" applyNumberFormat="1" applyFont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95" fontId="0" fillId="0" borderId="15" xfId="0" applyNumberFormat="1" applyBorder="1" applyAlignment="1">
      <alignment/>
    </xf>
    <xf numFmtId="19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5" fontId="0" fillId="0" borderId="18" xfId="0" applyNumberFormat="1" applyBorder="1" applyAlignment="1">
      <alignment/>
    </xf>
    <xf numFmtId="19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95" fontId="0" fillId="0" borderId="21" xfId="0" applyNumberFormat="1" applyBorder="1" applyAlignment="1">
      <alignment/>
    </xf>
    <xf numFmtId="19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95" fontId="0" fillId="0" borderId="24" xfId="0" applyNumberFormat="1" applyBorder="1" applyAlignment="1">
      <alignment/>
    </xf>
    <xf numFmtId="195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196" fontId="0" fillId="0" borderId="5" xfId="0" applyNumberFormat="1" applyBorder="1" applyAlignment="1">
      <alignment/>
    </xf>
    <xf numFmtId="196" fontId="0" fillId="0" borderId="0" xfId="0" applyNumberFormat="1" applyBorder="1" applyAlignment="1">
      <alignment/>
    </xf>
    <xf numFmtId="196" fontId="0" fillId="0" borderId="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196" fontId="0" fillId="0" borderId="9" xfId="0" applyNumberFormat="1" applyBorder="1" applyAlignment="1">
      <alignment/>
    </xf>
    <xf numFmtId="196" fontId="0" fillId="0" borderId="1" xfId="0" applyNumberFormat="1" applyBorder="1" applyAlignment="1">
      <alignment/>
    </xf>
    <xf numFmtId="196" fontId="0" fillId="0" borderId="10" xfId="0" applyNumberFormat="1" applyBorder="1" applyAlignment="1">
      <alignment/>
    </xf>
  </cellXfs>
  <cellStyles count="7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spread sheet shows a comparison of authentication duration and airtime consumption of EAP-GPSK, optimized EAP-GPSK, optimized EAP-GPSK with upper layer information piggy back and Yahalom with upper layer information piggy back.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tocol-comp-20100809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AP"/>
      <sheetName val="GPSK"/>
      <sheetName val="Yahalom"/>
      <sheetName val="Yahalom wDHCP"/>
      <sheetName val="Parameters"/>
      <sheetName val="Chart"/>
      <sheetName val="Table"/>
      <sheetName val="echof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orioka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E28" sqref="E2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150</v>
      </c>
    </row>
    <row r="2" ht="15.75">
      <c r="B2" s="1" t="s">
        <v>148</v>
      </c>
    </row>
    <row r="3" spans="1:2" ht="15.75">
      <c r="A3" s="2" t="s">
        <v>160</v>
      </c>
      <c r="B3" s="1" t="s">
        <v>163</v>
      </c>
    </row>
    <row r="4" spans="1:6" ht="15.75">
      <c r="A4" s="2" t="s">
        <v>149</v>
      </c>
      <c r="B4" s="8" t="s">
        <v>164</v>
      </c>
      <c r="F4" s="8"/>
    </row>
    <row r="5" spans="1:2" ht="15">
      <c r="A5" s="2" t="s">
        <v>159</v>
      </c>
      <c r="B5" s="11" t="s">
        <v>165</v>
      </c>
    </row>
    <row r="6" s="3" customFormat="1" ht="15.75" thickBot="1"/>
    <row r="7" spans="1:2" s="4" customFormat="1" ht="15.75">
      <c r="A7" s="4" t="s">
        <v>152</v>
      </c>
      <c r="B7" s="10" t="s">
        <v>166</v>
      </c>
    </row>
    <row r="8" spans="1:2" ht="15">
      <c r="A8" s="2" t="s">
        <v>161</v>
      </c>
      <c r="B8" s="7" t="s">
        <v>167</v>
      </c>
    </row>
    <row r="9" spans="1:9" ht="15">
      <c r="A9" s="2" t="s">
        <v>153</v>
      </c>
      <c r="B9" s="9" t="s">
        <v>158</v>
      </c>
      <c r="C9" s="9" t="s">
        <v>168</v>
      </c>
      <c r="D9" s="9"/>
      <c r="E9" s="9"/>
      <c r="F9" s="9"/>
      <c r="G9" s="9"/>
      <c r="H9" s="9"/>
      <c r="I9" s="9"/>
    </row>
    <row r="10" spans="2:9" ht="15">
      <c r="B10" s="9" t="s">
        <v>162</v>
      </c>
      <c r="C10" s="9" t="s">
        <v>169</v>
      </c>
      <c r="D10" s="9"/>
      <c r="E10" s="9"/>
      <c r="F10" s="9"/>
      <c r="G10" s="9"/>
      <c r="H10" s="9"/>
      <c r="I10" s="9"/>
    </row>
    <row r="11" spans="2:9" ht="15">
      <c r="B11" s="9" t="s">
        <v>154</v>
      </c>
      <c r="C11" s="9" t="s">
        <v>170</v>
      </c>
      <c r="D11" s="9"/>
      <c r="E11" s="9"/>
      <c r="F11" s="9"/>
      <c r="G11" s="9"/>
      <c r="H11" s="9"/>
      <c r="I11" s="9"/>
    </row>
    <row r="12" spans="2:9" ht="15">
      <c r="B12" s="9" t="s">
        <v>155</v>
      </c>
      <c r="C12" s="9" t="s">
        <v>172</v>
      </c>
      <c r="D12" s="9"/>
      <c r="E12" s="9"/>
      <c r="F12" s="9"/>
      <c r="G12" s="9"/>
      <c r="H12" s="9"/>
      <c r="I12" s="9"/>
    </row>
    <row r="13" spans="2:9" ht="15">
      <c r="B13" s="9" t="s">
        <v>156</v>
      </c>
      <c r="C13" s="9" t="s">
        <v>171</v>
      </c>
      <c r="D13" s="9"/>
      <c r="E13" s="9"/>
      <c r="F13" s="9"/>
      <c r="G13" s="9"/>
      <c r="H13" s="9"/>
      <c r="I13" s="9"/>
    </row>
    <row r="14" spans="2:9" ht="15">
      <c r="B14" s="9" t="s">
        <v>157</v>
      </c>
      <c r="C14" s="14" t="s">
        <v>173</v>
      </c>
      <c r="D14" s="9"/>
      <c r="E14" s="9"/>
      <c r="F14" s="9"/>
      <c r="G14" s="9"/>
      <c r="H14" s="9"/>
      <c r="I14" s="9"/>
    </row>
    <row r="15" ht="15">
      <c r="A15" s="2" t="s">
        <v>151</v>
      </c>
    </row>
    <row r="27" spans="1:5" ht="15.75" customHeight="1">
      <c r="A27" s="6"/>
      <c r="B27" s="13"/>
      <c r="C27" s="13"/>
      <c r="D27" s="13"/>
      <c r="E27" s="1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"/>
      <c r="C29" s="12"/>
      <c r="D29" s="12"/>
      <c r="E29" s="1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"/>
      <c r="C31" s="12"/>
      <c r="D31" s="12"/>
      <c r="E31" s="12"/>
    </row>
    <row r="32" spans="2:5" ht="15.75" customHeight="1">
      <c r="B32" s="12"/>
      <c r="C32" s="12"/>
      <c r="D32" s="12"/>
      <c r="E32" s="1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morioka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10">
      <selection activeCell="F14" sqref="F14"/>
    </sheetView>
  </sheetViews>
  <sheetFormatPr defaultColWidth="13.7109375" defaultRowHeight="12.75"/>
  <cols>
    <col min="1" max="2" width="15.7109375" style="0" customWidth="1"/>
    <col min="4" max="4" width="12.8515625" style="15" customWidth="1"/>
    <col min="10" max="10" width="12.8515625" style="15" customWidth="1"/>
  </cols>
  <sheetData>
    <row r="1" ht="12">
      <c r="A1" t="s">
        <v>174</v>
      </c>
    </row>
    <row r="2" spans="3:11" s="15" customFormat="1" ht="12">
      <c r="C2" s="15" t="s">
        <v>175</v>
      </c>
      <c r="D2" s="16"/>
      <c r="I2" s="15" t="s">
        <v>176</v>
      </c>
      <c r="K2" s="15" t="s">
        <v>177</v>
      </c>
    </row>
    <row r="3" spans="4:10" s="15" customFormat="1" ht="12">
      <c r="D3" s="16" t="s">
        <v>178</v>
      </c>
      <c r="E3" s="15" t="s">
        <v>179</v>
      </c>
      <c r="F3" s="15" t="s">
        <v>180</v>
      </c>
      <c r="G3" s="15" t="s">
        <v>181</v>
      </c>
      <c r="H3" s="15" t="s">
        <v>182</v>
      </c>
      <c r="J3" s="15" t="s">
        <v>178</v>
      </c>
    </row>
    <row r="4" spans="1:10" s="17" customFormat="1" ht="12">
      <c r="A4" s="17" t="s">
        <v>183</v>
      </c>
      <c r="C4" s="17" t="s">
        <v>184</v>
      </c>
      <c r="D4" s="18" t="s">
        <v>185</v>
      </c>
      <c r="E4" s="17">
        <v>34</v>
      </c>
      <c r="F4" s="17">
        <f>$E4*Parameters!B$10+Parameters!B$8+Parameters!B$9</f>
        <v>464</v>
      </c>
      <c r="G4" s="17">
        <f>$E4*Parameters!C$10+Parameters!C$8+Parameters!C$9</f>
        <v>65.33333333333333</v>
      </c>
      <c r="H4" s="17">
        <f>$E4*Parameters!D$10+Parameters!D$8+Parameters!D$9</f>
        <v>25.037037037037038</v>
      </c>
      <c r="I4" s="17" t="s">
        <v>186</v>
      </c>
      <c r="J4" s="19"/>
    </row>
    <row r="5" spans="2:10" s="20" customFormat="1" ht="16.5">
      <c r="B5" s="20" t="s">
        <v>187</v>
      </c>
      <c r="D5" s="21"/>
      <c r="F5" s="20">
        <f>Parameters!B$3</f>
        <v>10</v>
      </c>
      <c r="G5" s="20">
        <f>Parameters!C$3</f>
        <v>16</v>
      </c>
      <c r="H5" s="20">
        <f>Parameters!D$3</f>
        <v>16</v>
      </c>
      <c r="J5" s="22"/>
    </row>
    <row r="6" spans="1:10" s="20" customFormat="1" ht="16.5">
      <c r="A6" s="20" t="s">
        <v>188</v>
      </c>
      <c r="D6" s="22" t="s">
        <v>189</v>
      </c>
      <c r="E6" s="20">
        <v>14</v>
      </c>
      <c r="F6" s="20">
        <f>$E6*Parameters!B$10+Parameters!B$8+Parameters!B$9</f>
        <v>304</v>
      </c>
      <c r="G6" s="20">
        <f>$E6*Parameters!C$10+Parameters!C$8+Parameters!C$9</f>
        <v>38.666666666666664</v>
      </c>
      <c r="H6" s="20">
        <f>$E6*Parameters!D$10+Parameters!D$8+Parameters!D$9</f>
        <v>22.074074074074073</v>
      </c>
      <c r="J6" s="22"/>
    </row>
    <row r="7" spans="2:10" s="20" customFormat="1" ht="16.5">
      <c r="B7" s="20" t="s">
        <v>190</v>
      </c>
      <c r="D7" s="22"/>
      <c r="F7" s="20">
        <f>Parameters!B$4+Parameters!B$7</f>
        <v>360</v>
      </c>
      <c r="G7" s="20">
        <f>Parameters!C$4+Parameters!C$7</f>
        <v>101.5</v>
      </c>
      <c r="H7" s="20">
        <f>Parameters!D$4+Parameters!D$7</f>
        <v>101.5</v>
      </c>
      <c r="J7" s="22"/>
    </row>
    <row r="8" spans="1:10" s="17" customFormat="1" ht="12">
      <c r="A8" s="17" t="s">
        <v>191</v>
      </c>
      <c r="C8" s="17" t="s">
        <v>192</v>
      </c>
      <c r="D8" s="18" t="s">
        <v>189</v>
      </c>
      <c r="E8" s="17">
        <v>34</v>
      </c>
      <c r="F8" s="17">
        <f>$E8*Parameters!B$10+Parameters!B$8+Parameters!B$9</f>
        <v>464</v>
      </c>
      <c r="G8" s="17">
        <f>$E8*Parameters!C$10+Parameters!C$8+Parameters!C$9</f>
        <v>65.33333333333333</v>
      </c>
      <c r="H8" s="17">
        <f>$E8*Parameters!D$10+Parameters!D$8+Parameters!D$9</f>
        <v>25.037037037037038</v>
      </c>
      <c r="J8" s="19"/>
    </row>
    <row r="9" spans="2:10" s="20" customFormat="1" ht="16.5">
      <c r="B9" s="20" t="s">
        <v>193</v>
      </c>
      <c r="D9" s="21"/>
      <c r="F9" s="20">
        <f>Parameters!B$3</f>
        <v>10</v>
      </c>
      <c r="G9" s="20">
        <f>Parameters!C$3</f>
        <v>16</v>
      </c>
      <c r="H9" s="20">
        <f>Parameters!D$3</f>
        <v>16</v>
      </c>
      <c r="J9" s="22"/>
    </row>
    <row r="10" spans="1:10" s="20" customFormat="1" ht="16.5">
      <c r="A10" s="20" t="s">
        <v>188</v>
      </c>
      <c r="D10" s="22" t="s">
        <v>194</v>
      </c>
      <c r="E10" s="20">
        <v>14</v>
      </c>
      <c r="F10" s="20">
        <f>$E10*Parameters!B$10+Parameters!B$8+Parameters!B$9</f>
        <v>304</v>
      </c>
      <c r="G10" s="20">
        <f>$E10*Parameters!C$10+Parameters!C$8+Parameters!C$9</f>
        <v>38.666666666666664</v>
      </c>
      <c r="H10" s="20">
        <f>$E10*Parameters!D$10+Parameters!D$8+Parameters!D$9</f>
        <v>22.074074074074073</v>
      </c>
      <c r="J10" s="22"/>
    </row>
    <row r="11" spans="2:10" s="20" customFormat="1" ht="16.5">
      <c r="B11" s="20" t="s">
        <v>190</v>
      </c>
      <c r="D11" s="22"/>
      <c r="F11" s="20">
        <f>Parameters!B$4+Parameters!B$7</f>
        <v>360</v>
      </c>
      <c r="G11" s="20">
        <f>Parameters!C$4+Parameters!C$7</f>
        <v>101.5</v>
      </c>
      <c r="H11" s="20">
        <f>Parameters!D$4+Parameters!D$7</f>
        <v>101.5</v>
      </c>
      <c r="J11" s="22"/>
    </row>
    <row r="12" spans="1:10" s="17" customFormat="1" ht="12">
      <c r="A12" s="17" t="s">
        <v>84</v>
      </c>
      <c r="D12" s="18" t="s">
        <v>194</v>
      </c>
      <c r="E12" s="17">
        <v>83</v>
      </c>
      <c r="F12" s="17">
        <f>$E12*Parameters!B$10+Parameters!B$8+Parameters!B$9</f>
        <v>856</v>
      </c>
      <c r="G12" s="17">
        <f>$E12*Parameters!C$10+Parameters!C$8+Parameters!C$9</f>
        <v>130.66666666666666</v>
      </c>
      <c r="H12" s="17">
        <f>$E12*Parameters!D$10+Parameters!D$8+Parameters!D$9</f>
        <v>32.2962962962963</v>
      </c>
      <c r="I12" s="17" t="s">
        <v>192</v>
      </c>
      <c r="J12" s="19"/>
    </row>
    <row r="13" spans="2:10" s="20" customFormat="1" ht="16.5">
      <c r="B13" s="20" t="s">
        <v>193</v>
      </c>
      <c r="D13" s="21"/>
      <c r="F13" s="20">
        <f>Parameters!B$3</f>
        <v>10</v>
      </c>
      <c r="G13" s="20">
        <f>Parameters!C$3</f>
        <v>16</v>
      </c>
      <c r="H13" s="20">
        <f>Parameters!D$3</f>
        <v>16</v>
      </c>
      <c r="J13" s="22"/>
    </row>
    <row r="14" spans="1:10" s="20" customFormat="1" ht="16.5">
      <c r="A14" s="20" t="s">
        <v>188</v>
      </c>
      <c r="D14" s="22" t="s">
        <v>189</v>
      </c>
      <c r="E14" s="20">
        <v>14</v>
      </c>
      <c r="F14" s="20">
        <f>$E14*Parameters!B$10+Parameters!B$8+Parameters!B$9</f>
        <v>304</v>
      </c>
      <c r="G14" s="20">
        <f>$E14*Parameters!C$10+Parameters!C$8+Parameters!C$9</f>
        <v>38.666666666666664</v>
      </c>
      <c r="H14" s="20">
        <f>$E14*Parameters!D$10+Parameters!D$8+Parameters!D$9</f>
        <v>22.074074074074073</v>
      </c>
      <c r="J14" s="22"/>
    </row>
    <row r="15" spans="2:10" s="20" customFormat="1" ht="16.5">
      <c r="B15" s="20" t="s">
        <v>190</v>
      </c>
      <c r="D15" s="22"/>
      <c r="F15" s="20">
        <f>Parameters!B$4+Parameters!B$7</f>
        <v>360</v>
      </c>
      <c r="G15" s="20">
        <f>Parameters!C$4+Parameters!C$7</f>
        <v>101.5</v>
      </c>
      <c r="H15" s="20">
        <f>Parameters!D$4+Parameters!D$7</f>
        <v>101.5</v>
      </c>
      <c r="J15" s="22"/>
    </row>
    <row r="16" spans="1:10" s="17" customFormat="1" ht="12">
      <c r="A16" s="17" t="s">
        <v>85</v>
      </c>
      <c r="C16" s="17" t="s">
        <v>192</v>
      </c>
      <c r="D16" s="18" t="s">
        <v>189</v>
      </c>
      <c r="E16" s="17">
        <v>50</v>
      </c>
      <c r="F16" s="17">
        <f>$E16*Parameters!B$10+Parameters!B$8+Parameters!B$9</f>
        <v>592</v>
      </c>
      <c r="G16" s="17">
        <f>$E16*Parameters!C$10+Parameters!C$8+Parameters!C$9</f>
        <v>86.66666666666666</v>
      </c>
      <c r="H16" s="17">
        <f>$E16*Parameters!D$10+Parameters!D$8+Parameters!D$9</f>
        <v>27.407407407407405</v>
      </c>
      <c r="J16" s="19"/>
    </row>
    <row r="17" spans="2:10" s="20" customFormat="1" ht="16.5">
      <c r="B17" s="20" t="s">
        <v>193</v>
      </c>
      <c r="D17" s="21"/>
      <c r="F17" s="20">
        <f>Parameters!B$3</f>
        <v>10</v>
      </c>
      <c r="G17" s="20">
        <f>Parameters!C$3</f>
        <v>16</v>
      </c>
      <c r="H17" s="20">
        <f>Parameters!D$3</f>
        <v>16</v>
      </c>
      <c r="J17" s="22"/>
    </row>
    <row r="18" spans="1:10" s="20" customFormat="1" ht="16.5">
      <c r="A18" s="20" t="s">
        <v>188</v>
      </c>
      <c r="D18" s="22" t="s">
        <v>194</v>
      </c>
      <c r="E18" s="20">
        <v>14</v>
      </c>
      <c r="F18" s="20">
        <f>$E18*Parameters!B$10+Parameters!B$8+Parameters!B$9</f>
        <v>304</v>
      </c>
      <c r="G18" s="20">
        <f>$E18*Parameters!C$10+Parameters!C$8+Parameters!C$9</f>
        <v>38.666666666666664</v>
      </c>
      <c r="H18" s="20">
        <f>$E18*Parameters!D$10+Parameters!D$8+Parameters!D$9</f>
        <v>22.074074074074073</v>
      </c>
      <c r="J18" s="22"/>
    </row>
    <row r="19" spans="2:10" s="20" customFormat="1" ht="16.5">
      <c r="B19" s="20" t="s">
        <v>86</v>
      </c>
      <c r="D19" s="22"/>
      <c r="F19" s="20">
        <f>Parameters!B$4+Parameters!B$7</f>
        <v>360</v>
      </c>
      <c r="G19" s="20">
        <f>Parameters!C$4+Parameters!C$7</f>
        <v>101.5</v>
      </c>
      <c r="H19" s="20">
        <f>Parameters!D$4+Parameters!D$7</f>
        <v>101.5</v>
      </c>
      <c r="J19" s="22"/>
    </row>
    <row r="20" spans="1:10" s="17" customFormat="1" ht="12">
      <c r="A20" s="17" t="s">
        <v>87</v>
      </c>
      <c r="D20" s="18" t="s">
        <v>88</v>
      </c>
      <c r="E20" s="17">
        <v>41</v>
      </c>
      <c r="F20" s="17">
        <f>$E20*Parameters!B$10+Parameters!B$8+Parameters!B$9</f>
        <v>520</v>
      </c>
      <c r="G20" s="17">
        <f>$E20*Parameters!C$10+Parameters!C$8+Parameters!C$9</f>
        <v>74.66666666666666</v>
      </c>
      <c r="H20" s="17">
        <f>$E20*Parameters!D$10+Parameters!D$8+Parameters!D$9</f>
        <v>26.074074074074073</v>
      </c>
      <c r="I20" s="17" t="s">
        <v>192</v>
      </c>
      <c r="J20" s="19"/>
    </row>
    <row r="21" spans="2:10" s="20" customFormat="1" ht="16.5">
      <c r="B21" s="20" t="s">
        <v>193</v>
      </c>
      <c r="D21" s="21"/>
      <c r="F21" s="20">
        <f>Parameters!B$3</f>
        <v>10</v>
      </c>
      <c r="G21" s="20">
        <f>Parameters!C$3</f>
        <v>16</v>
      </c>
      <c r="H21" s="20">
        <f>Parameters!D$3</f>
        <v>16</v>
      </c>
      <c r="J21" s="22"/>
    </row>
    <row r="22" spans="1:10" s="20" customFormat="1" ht="16.5">
      <c r="A22" s="20" t="s">
        <v>188</v>
      </c>
      <c r="D22" s="22" t="s">
        <v>189</v>
      </c>
      <c r="E22" s="20">
        <v>14</v>
      </c>
      <c r="F22" s="20">
        <f>$E22*Parameters!B$10+Parameters!B$8+Parameters!B$9</f>
        <v>304</v>
      </c>
      <c r="G22" s="20">
        <f>$E22*Parameters!C$10+Parameters!C$8+Parameters!C$9</f>
        <v>38.666666666666664</v>
      </c>
      <c r="H22" s="20">
        <f>$E22*Parameters!D$10+Parameters!D$8+Parameters!D$9</f>
        <v>22.074074074074073</v>
      </c>
      <c r="J22" s="22"/>
    </row>
    <row r="23" spans="2:10" s="20" customFormat="1" ht="16.5">
      <c r="B23" s="20" t="s">
        <v>190</v>
      </c>
      <c r="D23" s="22"/>
      <c r="F23" s="20">
        <f>Parameters!B$4+Parameters!B$7</f>
        <v>360</v>
      </c>
      <c r="G23" s="20">
        <f>Parameters!C$4+Parameters!C$7</f>
        <v>101.5</v>
      </c>
      <c r="H23" s="20">
        <f>Parameters!D$4+Parameters!D$7</f>
        <v>101.5</v>
      </c>
      <c r="J23" s="22"/>
    </row>
    <row r="24" spans="1:10" s="17" customFormat="1" ht="12">
      <c r="A24" s="17" t="s">
        <v>89</v>
      </c>
      <c r="C24" s="17" t="s">
        <v>192</v>
      </c>
      <c r="D24" s="18" t="s">
        <v>189</v>
      </c>
      <c r="E24" s="17">
        <v>50</v>
      </c>
      <c r="F24" s="17">
        <f>$E24*Parameters!B$10+Parameters!B$8+Parameters!B$9</f>
        <v>592</v>
      </c>
      <c r="G24" s="17">
        <f>$E24*Parameters!C$10+Parameters!C$8+Parameters!C$9</f>
        <v>86.66666666666666</v>
      </c>
      <c r="H24" s="17">
        <f>$E24*Parameters!D$10+Parameters!D$8+Parameters!D$9</f>
        <v>27.407407407407405</v>
      </c>
      <c r="J24" s="19"/>
    </row>
    <row r="25" spans="2:10" s="20" customFormat="1" ht="16.5">
      <c r="B25" s="20" t="s">
        <v>193</v>
      </c>
      <c r="D25" s="21"/>
      <c r="F25" s="20">
        <f>Parameters!B$3</f>
        <v>10</v>
      </c>
      <c r="G25" s="20">
        <f>Parameters!C$3</f>
        <v>16</v>
      </c>
      <c r="H25" s="20">
        <f>Parameters!D$3</f>
        <v>16</v>
      </c>
      <c r="J25" s="22"/>
    </row>
    <row r="26" spans="1:10" s="20" customFormat="1" ht="16.5">
      <c r="A26" s="20" t="s">
        <v>188</v>
      </c>
      <c r="D26" s="22" t="s">
        <v>194</v>
      </c>
      <c r="E26" s="20">
        <v>14</v>
      </c>
      <c r="F26" s="20">
        <f>$E26*Parameters!B$10+Parameters!B$8+Parameters!B$9</f>
        <v>304</v>
      </c>
      <c r="G26" s="20">
        <f>$E26*Parameters!C$10+Parameters!C$8+Parameters!C$9</f>
        <v>38.666666666666664</v>
      </c>
      <c r="H26" s="20">
        <f>$E26*Parameters!D$10+Parameters!D$8+Parameters!D$9</f>
        <v>22.074074074074073</v>
      </c>
      <c r="J26" s="22"/>
    </row>
    <row r="27" spans="2:10" s="20" customFormat="1" ht="16.5">
      <c r="B27" s="20" t="s">
        <v>190</v>
      </c>
      <c r="D27" s="22"/>
      <c r="F27" s="20">
        <f>Parameters!B$4+Parameters!B$7</f>
        <v>360</v>
      </c>
      <c r="G27" s="20">
        <f>Parameters!C$4+Parameters!C$7</f>
        <v>101.5</v>
      </c>
      <c r="H27" s="20">
        <f>Parameters!D$4+Parameters!D$7</f>
        <v>101.5</v>
      </c>
      <c r="J27" s="22"/>
    </row>
    <row r="28" spans="1:11" s="17" customFormat="1" ht="12">
      <c r="A28" s="17" t="s">
        <v>90</v>
      </c>
      <c r="D28" s="18" t="s">
        <v>194</v>
      </c>
      <c r="E28" s="17">
        <v>51</v>
      </c>
      <c r="F28" s="17">
        <f>$E28*Parameters!B$10+Parameters!B$8+Parameters!B$9</f>
        <v>600</v>
      </c>
      <c r="G28" s="17">
        <f>$E28*Parameters!C$10+Parameters!C$8+Parameters!C$9</f>
        <v>88</v>
      </c>
      <c r="H28" s="17">
        <f>$E28*Parameters!D$10+Parameters!D$8+Parameters!D$9</f>
        <v>27.555555555555557</v>
      </c>
      <c r="I28" s="17" t="s">
        <v>192</v>
      </c>
      <c r="J28" s="19" t="s">
        <v>194</v>
      </c>
      <c r="K28" s="17" t="s">
        <v>192</v>
      </c>
    </row>
    <row r="29" spans="2:10" s="20" customFormat="1" ht="16.5">
      <c r="B29" s="20" t="s">
        <v>193</v>
      </c>
      <c r="D29" s="21"/>
      <c r="F29" s="20">
        <f>Parameters!B$3</f>
        <v>10</v>
      </c>
      <c r="G29" s="20">
        <f>Parameters!C$3</f>
        <v>16</v>
      </c>
      <c r="H29" s="20">
        <f>Parameters!D$3</f>
        <v>16</v>
      </c>
      <c r="J29" s="22"/>
    </row>
    <row r="30" spans="1:10" s="20" customFormat="1" ht="16.5">
      <c r="A30" s="20" t="s">
        <v>188</v>
      </c>
      <c r="D30" s="22" t="s">
        <v>189</v>
      </c>
      <c r="E30" s="20">
        <v>14</v>
      </c>
      <c r="F30" s="20">
        <f>$E30*Parameters!B$10+Parameters!B$8+Parameters!B$9</f>
        <v>304</v>
      </c>
      <c r="G30" s="20">
        <f>$E30*Parameters!C$10+Parameters!C$8+Parameters!C$9</f>
        <v>38.666666666666664</v>
      </c>
      <c r="H30" s="20">
        <f>$E30*Parameters!D$10+Parameters!D$8+Parameters!D$9</f>
        <v>22.074074074074073</v>
      </c>
      <c r="J30" s="22"/>
    </row>
    <row r="31" spans="2:10" s="20" customFormat="1" ht="16.5">
      <c r="B31" s="20" t="s">
        <v>190</v>
      </c>
      <c r="D31" s="22"/>
      <c r="F31" s="20">
        <f>Parameters!B$4+Parameters!B$7</f>
        <v>360</v>
      </c>
      <c r="G31" s="20">
        <f>Parameters!C$4+Parameters!C$7</f>
        <v>101.5</v>
      </c>
      <c r="H31" s="20">
        <f>Parameters!D$4+Parameters!D$7</f>
        <v>101.5</v>
      </c>
      <c r="J31" s="22"/>
    </row>
    <row r="32" spans="1:10" s="17" customFormat="1" ht="12">
      <c r="A32" s="17" t="s">
        <v>91</v>
      </c>
      <c r="C32" s="17" t="s">
        <v>192</v>
      </c>
      <c r="D32" s="18" t="s">
        <v>189</v>
      </c>
      <c r="E32" s="17">
        <v>336</v>
      </c>
      <c r="F32" s="17">
        <f>$E32*Parameters!B$10+Parameters!B$8+Parameters!B$9</f>
        <v>2880</v>
      </c>
      <c r="G32" s="17">
        <f>$E32*Parameters!C$10+Parameters!C$8+Parameters!C$9</f>
        <v>468</v>
      </c>
      <c r="H32" s="17">
        <f>$E32*Parameters!D$10+Parameters!D$8+Parameters!D$9</f>
        <v>69.77777777777777</v>
      </c>
      <c r="I32" s="17" t="s">
        <v>192</v>
      </c>
      <c r="J32" s="19" t="s">
        <v>189</v>
      </c>
    </row>
    <row r="33" spans="2:10" s="20" customFormat="1" ht="16.5">
      <c r="B33" s="20" t="s">
        <v>193</v>
      </c>
      <c r="D33" s="21"/>
      <c r="F33" s="20">
        <f>Parameters!B$3</f>
        <v>10</v>
      </c>
      <c r="G33" s="20">
        <f>Parameters!C$3</f>
        <v>16</v>
      </c>
      <c r="H33" s="20">
        <f>Parameters!D$3</f>
        <v>16</v>
      </c>
      <c r="J33" s="22"/>
    </row>
    <row r="34" spans="1:10" s="20" customFormat="1" ht="16.5">
      <c r="A34" s="20" t="s">
        <v>188</v>
      </c>
      <c r="D34" s="22" t="s">
        <v>194</v>
      </c>
      <c r="E34" s="20">
        <v>14</v>
      </c>
      <c r="F34" s="20">
        <f>$E34*Parameters!B$10+Parameters!B$8+Parameters!B$9</f>
        <v>304</v>
      </c>
      <c r="G34" s="20">
        <f>$E34*Parameters!C$10+Parameters!C$8+Parameters!C$9</f>
        <v>38.666666666666664</v>
      </c>
      <c r="H34" s="20">
        <f>$E34*Parameters!D$10+Parameters!D$8+Parameters!D$9</f>
        <v>22.074074074074073</v>
      </c>
      <c r="J34" s="22"/>
    </row>
    <row r="35" spans="2:10" s="20" customFormat="1" ht="16.5">
      <c r="B35" s="20" t="s">
        <v>190</v>
      </c>
      <c r="D35" s="22"/>
      <c r="F35" s="20">
        <f>Parameters!B$4+Parameters!B$7</f>
        <v>360</v>
      </c>
      <c r="G35" s="20">
        <f>Parameters!C$4+Parameters!C$7</f>
        <v>101.5</v>
      </c>
      <c r="H35" s="20">
        <f>Parameters!D$4+Parameters!D$7</f>
        <v>101.5</v>
      </c>
      <c r="J35" s="22"/>
    </row>
    <row r="36" spans="1:11" s="17" customFormat="1" ht="12">
      <c r="A36" s="17" t="s">
        <v>92</v>
      </c>
      <c r="D36" s="18" t="s">
        <v>194</v>
      </c>
      <c r="E36" s="17">
        <v>650</v>
      </c>
      <c r="F36" s="17">
        <f>$E36*Parameters!B$10+Parameters!B$8+Parameters!B$9</f>
        <v>5392</v>
      </c>
      <c r="G36" s="17">
        <f>$E36*Parameters!C$10+Parameters!C$8+Parameters!C$9</f>
        <v>886.6666666666666</v>
      </c>
      <c r="H36" s="17">
        <f>$E36*Parameters!D$10+Parameters!D$8+Parameters!D$9</f>
        <v>116.29629629629629</v>
      </c>
      <c r="I36" s="17" t="s">
        <v>192</v>
      </c>
      <c r="J36" s="19" t="s">
        <v>194</v>
      </c>
      <c r="K36" s="17" t="s">
        <v>192</v>
      </c>
    </row>
    <row r="37" spans="2:10" s="20" customFormat="1" ht="16.5">
      <c r="B37" s="20" t="s">
        <v>193</v>
      </c>
      <c r="D37" s="21"/>
      <c r="F37" s="20">
        <f>Parameters!B$3</f>
        <v>10</v>
      </c>
      <c r="G37" s="20">
        <f>Parameters!C$3</f>
        <v>16</v>
      </c>
      <c r="H37" s="20">
        <f>Parameters!D$3</f>
        <v>16</v>
      </c>
      <c r="J37" s="22"/>
    </row>
    <row r="38" spans="1:10" s="20" customFormat="1" ht="16.5">
      <c r="A38" s="20" t="s">
        <v>188</v>
      </c>
      <c r="D38" s="22" t="s">
        <v>189</v>
      </c>
      <c r="E38" s="20">
        <v>14</v>
      </c>
      <c r="F38" s="20">
        <f>$E38*Parameters!B$10+Parameters!B$8+Parameters!B$9</f>
        <v>304</v>
      </c>
      <c r="G38" s="20">
        <f>$E38*Parameters!C$10+Parameters!C$8+Parameters!C$9</f>
        <v>38.666666666666664</v>
      </c>
      <c r="H38" s="20">
        <f>$E38*Parameters!D$10+Parameters!D$8+Parameters!D$9</f>
        <v>22.074074074074073</v>
      </c>
      <c r="J38" s="22"/>
    </row>
    <row r="39" spans="2:10" s="20" customFormat="1" ht="16.5">
      <c r="B39" s="20" t="s">
        <v>190</v>
      </c>
      <c r="D39" s="22"/>
      <c r="F39" s="20">
        <f>Parameters!B$4+Parameters!B$7</f>
        <v>360</v>
      </c>
      <c r="G39" s="20">
        <f>Parameters!C$4+Parameters!C$7</f>
        <v>101.5</v>
      </c>
      <c r="H39" s="20">
        <f>Parameters!D$4+Parameters!D$7</f>
        <v>101.5</v>
      </c>
      <c r="J39" s="22"/>
    </row>
    <row r="40" spans="1:10" s="17" customFormat="1" ht="12">
      <c r="A40" s="17" t="s">
        <v>93</v>
      </c>
      <c r="C40" s="17" t="s">
        <v>192</v>
      </c>
      <c r="D40" s="18" t="s">
        <v>189</v>
      </c>
      <c r="E40" s="17">
        <v>386</v>
      </c>
      <c r="F40" s="17">
        <f>$E40*Parameters!B$10+Parameters!B$8+Parameters!B$9</f>
        <v>3280</v>
      </c>
      <c r="G40" s="17">
        <f>$E40*Parameters!C$10+Parameters!C$8+Parameters!C$9</f>
        <v>534.6666666666666</v>
      </c>
      <c r="H40" s="17">
        <f>$E40*Parameters!D$10+Parameters!D$8+Parameters!D$9</f>
        <v>77.18518518518519</v>
      </c>
      <c r="I40" s="17" t="s">
        <v>192</v>
      </c>
      <c r="J40" s="19" t="s">
        <v>189</v>
      </c>
    </row>
    <row r="41" spans="2:10" s="20" customFormat="1" ht="16.5">
      <c r="B41" s="20" t="s">
        <v>193</v>
      </c>
      <c r="D41" s="21"/>
      <c r="F41" s="20">
        <f>Parameters!B$3</f>
        <v>10</v>
      </c>
      <c r="G41" s="20">
        <f>Parameters!C$3</f>
        <v>16</v>
      </c>
      <c r="H41" s="20">
        <f>Parameters!D$3</f>
        <v>16</v>
      </c>
      <c r="J41" s="22"/>
    </row>
    <row r="42" spans="1:10" s="20" customFormat="1" ht="16.5">
      <c r="A42" s="20" t="s">
        <v>188</v>
      </c>
      <c r="D42" s="22" t="s">
        <v>194</v>
      </c>
      <c r="E42" s="20">
        <v>14</v>
      </c>
      <c r="F42" s="20">
        <f>$E42*Parameters!B$10+Parameters!B$8+Parameters!B$9</f>
        <v>304</v>
      </c>
      <c r="G42" s="20">
        <f>$E42*Parameters!C$10+Parameters!C$8+Parameters!C$9</f>
        <v>38.666666666666664</v>
      </c>
      <c r="H42" s="20">
        <f>$E42*Parameters!D$10+Parameters!D$8+Parameters!D$9</f>
        <v>22.074074074074073</v>
      </c>
      <c r="J42" s="22"/>
    </row>
    <row r="43" spans="2:10" s="20" customFormat="1" ht="16.5">
      <c r="B43" s="20" t="s">
        <v>190</v>
      </c>
      <c r="D43" s="22"/>
      <c r="F43" s="20">
        <f>Parameters!B$4+Parameters!B$7</f>
        <v>360</v>
      </c>
      <c r="G43" s="20">
        <f>Parameters!C$4+Parameters!C$7</f>
        <v>101.5</v>
      </c>
      <c r="H43" s="20">
        <f>Parameters!D$4+Parameters!D$7</f>
        <v>101.5</v>
      </c>
      <c r="J43" s="22"/>
    </row>
    <row r="44" spans="1:11" s="17" customFormat="1" ht="12">
      <c r="A44" s="17" t="s">
        <v>94</v>
      </c>
      <c r="D44" s="18" t="s">
        <v>95</v>
      </c>
      <c r="E44" s="17">
        <v>60</v>
      </c>
      <c r="F44" s="17">
        <f>$E44*Parameters!B$10+Parameters!B$8+Parameters!B$9</f>
        <v>672</v>
      </c>
      <c r="G44" s="17">
        <f>$E44*Parameters!C$10+Parameters!C$8+Parameters!C$9</f>
        <v>100</v>
      </c>
      <c r="H44" s="17">
        <f>$E44*Parameters!D$10+Parameters!D$8+Parameters!D$9</f>
        <v>28.88888888888889</v>
      </c>
      <c r="I44" s="17" t="s">
        <v>96</v>
      </c>
      <c r="J44" s="19" t="s">
        <v>95</v>
      </c>
      <c r="K44" s="17" t="s">
        <v>96</v>
      </c>
    </row>
    <row r="45" spans="2:10" s="20" customFormat="1" ht="16.5">
      <c r="B45" s="20" t="s">
        <v>97</v>
      </c>
      <c r="D45" s="21"/>
      <c r="F45" s="20">
        <f>Parameters!B$3</f>
        <v>10</v>
      </c>
      <c r="G45" s="20">
        <f>Parameters!C$3</f>
        <v>16</v>
      </c>
      <c r="H45" s="20">
        <f>Parameters!D$3</f>
        <v>16</v>
      </c>
      <c r="J45" s="22"/>
    </row>
    <row r="46" spans="1:10" s="20" customFormat="1" ht="16.5">
      <c r="A46" s="20" t="s">
        <v>188</v>
      </c>
      <c r="D46" s="22" t="s">
        <v>98</v>
      </c>
      <c r="E46" s="20">
        <v>14</v>
      </c>
      <c r="F46" s="20">
        <f>$E46*Parameters!B$10+Parameters!B$8+Parameters!B$9</f>
        <v>304</v>
      </c>
      <c r="G46" s="20">
        <f>$E46*Parameters!C$10+Parameters!C$8+Parameters!C$9</f>
        <v>38.666666666666664</v>
      </c>
      <c r="H46" s="20">
        <f>$E46*Parameters!D$10+Parameters!D$8+Parameters!D$9</f>
        <v>22.074074074074073</v>
      </c>
      <c r="J46" s="22"/>
    </row>
    <row r="47" spans="2:10" s="20" customFormat="1" ht="16.5">
      <c r="B47" s="20" t="s">
        <v>190</v>
      </c>
      <c r="D47" s="22"/>
      <c r="F47" s="20">
        <f>Parameters!B$4+Parameters!B$7</f>
        <v>360</v>
      </c>
      <c r="G47" s="20">
        <f>Parameters!C$4+Parameters!C$7</f>
        <v>101.5</v>
      </c>
      <c r="H47" s="20">
        <f>Parameters!D$4+Parameters!D$7</f>
        <v>101.5</v>
      </c>
      <c r="J47" s="22"/>
    </row>
    <row r="48" spans="1:10" s="17" customFormat="1" ht="12">
      <c r="A48" s="17" t="s">
        <v>99</v>
      </c>
      <c r="C48" s="17" t="s">
        <v>192</v>
      </c>
      <c r="D48" s="18" t="s">
        <v>189</v>
      </c>
      <c r="E48" s="17">
        <v>44</v>
      </c>
      <c r="F48" s="17">
        <f>$E48*Parameters!B$10+Parameters!B$8+Parameters!B$9</f>
        <v>544</v>
      </c>
      <c r="G48" s="17">
        <f>$E48*Parameters!C$10+Parameters!C$8+Parameters!C$9</f>
        <v>78.66666666666666</v>
      </c>
      <c r="H48" s="17">
        <f>$E48*Parameters!D$10+Parameters!D$8+Parameters!D$9</f>
        <v>26.51851851851852</v>
      </c>
      <c r="I48" s="17" t="s">
        <v>192</v>
      </c>
      <c r="J48" s="19" t="s">
        <v>189</v>
      </c>
    </row>
    <row r="49" spans="2:10" s="20" customFormat="1" ht="16.5">
      <c r="B49" s="20" t="s">
        <v>193</v>
      </c>
      <c r="D49" s="21"/>
      <c r="F49" s="20">
        <f>Parameters!B$3</f>
        <v>10</v>
      </c>
      <c r="G49" s="20">
        <f>Parameters!C$3</f>
        <v>16</v>
      </c>
      <c r="H49" s="20">
        <f>Parameters!D$3</f>
        <v>16</v>
      </c>
      <c r="J49" s="22"/>
    </row>
    <row r="50" spans="1:10" s="20" customFormat="1" ht="16.5">
      <c r="A50" s="20" t="s">
        <v>188</v>
      </c>
      <c r="D50" s="22" t="s">
        <v>194</v>
      </c>
      <c r="E50" s="20">
        <v>14</v>
      </c>
      <c r="F50" s="20">
        <f>$E50*Parameters!B$10+Parameters!B$8+Parameters!B$9</f>
        <v>304</v>
      </c>
      <c r="G50" s="20">
        <f>$E50*Parameters!C$10+Parameters!C$8+Parameters!C$9</f>
        <v>38.666666666666664</v>
      </c>
      <c r="H50" s="20">
        <f>$E50*Parameters!D$10+Parameters!D$8+Parameters!D$9</f>
        <v>22.074074074074073</v>
      </c>
      <c r="J50" s="22"/>
    </row>
    <row r="51" spans="2:10" s="20" customFormat="1" ht="16.5">
      <c r="B51" s="20" t="s">
        <v>100</v>
      </c>
      <c r="D51" s="22"/>
      <c r="F51" s="20">
        <f>Parameters!B$4+Parameters!B$7</f>
        <v>360</v>
      </c>
      <c r="G51" s="20">
        <f>Parameters!C$4+Parameters!C$7</f>
        <v>101.5</v>
      </c>
      <c r="H51" s="20">
        <f>Parameters!D$4+Parameters!D$7</f>
        <v>101.5</v>
      </c>
      <c r="J51" s="22"/>
    </row>
    <row r="52" spans="1:10" s="17" customFormat="1" ht="12">
      <c r="A52" s="17" t="s">
        <v>101</v>
      </c>
      <c r="C52" s="17" t="s">
        <v>102</v>
      </c>
      <c r="D52" s="18" t="s">
        <v>103</v>
      </c>
      <c r="E52" s="17">
        <v>135</v>
      </c>
      <c r="F52" s="17">
        <f>$E52*Parameters!B$10+Parameters!B$8+Parameters!B$9</f>
        <v>1272</v>
      </c>
      <c r="G52" s="17">
        <f>$E52*Parameters!C$10+Parameters!C$8+Parameters!C$9</f>
        <v>200</v>
      </c>
      <c r="H52" s="17">
        <f>$E52*Parameters!D$10+Parameters!D$8+Parameters!D$9</f>
        <v>40</v>
      </c>
      <c r="J52" s="19"/>
    </row>
    <row r="53" spans="2:10" s="20" customFormat="1" ht="16.5">
      <c r="B53" s="20" t="s">
        <v>104</v>
      </c>
      <c r="D53" s="21"/>
      <c r="F53" s="20">
        <f>Parameters!B$3</f>
        <v>10</v>
      </c>
      <c r="G53" s="20">
        <f>Parameters!C$3</f>
        <v>16</v>
      </c>
      <c r="H53" s="20">
        <f>Parameters!D$3</f>
        <v>16</v>
      </c>
      <c r="J53" s="22"/>
    </row>
    <row r="54" spans="1:10" s="20" customFormat="1" ht="16.5">
      <c r="A54" s="20" t="s">
        <v>188</v>
      </c>
      <c r="D54" s="22" t="s">
        <v>105</v>
      </c>
      <c r="E54" s="20">
        <v>14</v>
      </c>
      <c r="F54" s="20">
        <f>$E54*Parameters!B$10+Parameters!B$8+Parameters!B$9</f>
        <v>304</v>
      </c>
      <c r="G54" s="20">
        <f>$E54*Parameters!C$10+Parameters!C$8+Parameters!C$9</f>
        <v>38.666666666666664</v>
      </c>
      <c r="H54" s="20">
        <f>$E54*Parameters!D$10+Parameters!D$8+Parameters!D$9</f>
        <v>22.074074074074073</v>
      </c>
      <c r="J54" s="22"/>
    </row>
    <row r="55" spans="2:10" s="20" customFormat="1" ht="16.5">
      <c r="B55" s="20" t="s">
        <v>106</v>
      </c>
      <c r="D55" s="22"/>
      <c r="F55" s="20">
        <f>Parameters!B$4+Parameters!B$7</f>
        <v>360</v>
      </c>
      <c r="G55" s="20">
        <f>Parameters!C$4+Parameters!C$7</f>
        <v>101.5</v>
      </c>
      <c r="H55" s="20">
        <f>Parameters!D$4+Parameters!D$7</f>
        <v>101.5</v>
      </c>
      <c r="J55" s="22"/>
    </row>
    <row r="56" spans="1:10" s="17" customFormat="1" ht="12">
      <c r="A56" s="17" t="s">
        <v>101</v>
      </c>
      <c r="D56" s="18" t="s">
        <v>105</v>
      </c>
      <c r="E56" s="17">
        <v>161</v>
      </c>
      <c r="F56" s="17">
        <f>$E56*Parameters!B$10+Parameters!B$8+Parameters!B$9</f>
        <v>1480</v>
      </c>
      <c r="G56" s="17">
        <f>$E56*Parameters!C$10+Parameters!C$8+Parameters!C$9</f>
        <v>234.66666666666666</v>
      </c>
      <c r="H56" s="17">
        <f>$E56*Parameters!D$10+Parameters!D$8+Parameters!D$9</f>
        <v>43.85185185185185</v>
      </c>
      <c r="I56" s="17" t="s">
        <v>107</v>
      </c>
      <c r="J56" s="19"/>
    </row>
    <row r="57" spans="2:10" s="20" customFormat="1" ht="16.5">
      <c r="B57" s="20" t="s">
        <v>108</v>
      </c>
      <c r="D57" s="21"/>
      <c r="F57" s="20">
        <f>Parameters!B$3</f>
        <v>10</v>
      </c>
      <c r="G57" s="20">
        <f>Parameters!C$3</f>
        <v>16</v>
      </c>
      <c r="H57" s="20">
        <f>Parameters!D$3</f>
        <v>16</v>
      </c>
      <c r="J57" s="22"/>
    </row>
    <row r="58" spans="1:10" s="20" customFormat="1" ht="16.5">
      <c r="A58" s="20" t="s">
        <v>188</v>
      </c>
      <c r="D58" s="22" t="s">
        <v>109</v>
      </c>
      <c r="E58" s="20">
        <v>14</v>
      </c>
      <c r="F58" s="20">
        <f>$E58*Parameters!B$10+Parameters!B$8+Parameters!B$9</f>
        <v>304</v>
      </c>
      <c r="G58" s="20">
        <f>$E58*Parameters!C$10+Parameters!C$8+Parameters!C$9</f>
        <v>38.666666666666664</v>
      </c>
      <c r="H58" s="20">
        <f>$E58*Parameters!D$10+Parameters!D$8+Parameters!D$9</f>
        <v>22.074074074074073</v>
      </c>
      <c r="J58" s="22"/>
    </row>
    <row r="59" spans="2:10" s="20" customFormat="1" ht="16.5">
      <c r="B59" s="20" t="s">
        <v>190</v>
      </c>
      <c r="D59" s="22"/>
      <c r="F59" s="20">
        <f>Parameters!B$4+Parameters!B$7</f>
        <v>360</v>
      </c>
      <c r="G59" s="20">
        <f>Parameters!C$4+Parameters!C$7</f>
        <v>101.5</v>
      </c>
      <c r="H59" s="20">
        <f>Parameters!D$4+Parameters!D$7</f>
        <v>101.5</v>
      </c>
      <c r="J59" s="22"/>
    </row>
    <row r="60" spans="1:10" s="17" customFormat="1" ht="12">
      <c r="A60" s="17" t="s">
        <v>101</v>
      </c>
      <c r="C60" s="17" t="s">
        <v>192</v>
      </c>
      <c r="D60" s="18" t="s">
        <v>189</v>
      </c>
      <c r="E60" s="17">
        <v>165</v>
      </c>
      <c r="F60" s="17">
        <f>$E60*Parameters!B$10+Parameters!B$8+Parameters!B$9</f>
        <v>1512</v>
      </c>
      <c r="G60" s="17">
        <f>$E60*Parameters!C$10+Parameters!C$8+Parameters!C$9</f>
        <v>240</v>
      </c>
      <c r="H60" s="17">
        <f>$E60*Parameters!D$10+Parameters!D$8+Parameters!D$9</f>
        <v>44.44444444444444</v>
      </c>
      <c r="J60" s="19"/>
    </row>
    <row r="61" spans="2:10" s="20" customFormat="1" ht="16.5">
      <c r="B61" s="20" t="s">
        <v>193</v>
      </c>
      <c r="D61" s="21"/>
      <c r="F61" s="20">
        <f>Parameters!B$3</f>
        <v>10</v>
      </c>
      <c r="G61" s="20">
        <f>Parameters!C$3</f>
        <v>16</v>
      </c>
      <c r="H61" s="20">
        <f>Parameters!D$3</f>
        <v>16</v>
      </c>
      <c r="J61" s="22"/>
    </row>
    <row r="62" spans="1:10" s="20" customFormat="1" ht="16.5">
      <c r="A62" s="20" t="s">
        <v>188</v>
      </c>
      <c r="D62" s="22" t="s">
        <v>194</v>
      </c>
      <c r="E62" s="20">
        <v>14</v>
      </c>
      <c r="F62" s="20">
        <f>$E62*Parameters!B$10+Parameters!B$8+Parameters!B$9</f>
        <v>304</v>
      </c>
      <c r="G62" s="20">
        <f>$E62*Parameters!C$10+Parameters!C$8+Parameters!C$9</f>
        <v>38.666666666666664</v>
      </c>
      <c r="H62" s="20">
        <f>$E62*Parameters!D$10+Parameters!D$8+Parameters!D$9</f>
        <v>22.074074074074073</v>
      </c>
      <c r="J62" s="22"/>
    </row>
    <row r="63" spans="2:10" s="20" customFormat="1" ht="16.5">
      <c r="B63" s="20" t="s">
        <v>190</v>
      </c>
      <c r="D63" s="22"/>
      <c r="F63" s="20">
        <f>Parameters!B$4+Parameters!B$7</f>
        <v>360</v>
      </c>
      <c r="G63" s="20">
        <f>Parameters!C$4+Parameters!C$7</f>
        <v>101.5</v>
      </c>
      <c r="H63" s="20">
        <f>Parameters!D$4+Parameters!D$7</f>
        <v>101.5</v>
      </c>
      <c r="J63" s="22"/>
    </row>
    <row r="64" spans="1:10" s="17" customFormat="1" ht="12">
      <c r="A64" s="17" t="s">
        <v>101</v>
      </c>
      <c r="D64" s="18" t="s">
        <v>194</v>
      </c>
      <c r="E64" s="17">
        <v>135</v>
      </c>
      <c r="F64" s="17">
        <f>$E64*Parameters!B$10+Parameters!B$8+Parameters!B$9</f>
        <v>1272</v>
      </c>
      <c r="G64" s="17">
        <f>$E64*Parameters!C$10+Parameters!C$8+Parameters!C$9</f>
        <v>200</v>
      </c>
      <c r="H64" s="17">
        <f>$E64*Parameters!D$10+Parameters!D$8+Parameters!D$9</f>
        <v>40</v>
      </c>
      <c r="I64" s="17" t="s">
        <v>192</v>
      </c>
      <c r="J64" s="19"/>
    </row>
    <row r="65" spans="2:10" s="20" customFormat="1" ht="16.5">
      <c r="B65" s="20" t="s">
        <v>193</v>
      </c>
      <c r="D65" s="21"/>
      <c r="F65" s="20">
        <f>Parameters!B$3</f>
        <v>10</v>
      </c>
      <c r="G65" s="20">
        <f>Parameters!C$3</f>
        <v>16</v>
      </c>
      <c r="H65" s="20">
        <f>Parameters!D$3</f>
        <v>16</v>
      </c>
      <c r="J65" s="22"/>
    </row>
    <row r="66" spans="1:10" s="20" customFormat="1" ht="16.5">
      <c r="A66" s="20" t="s">
        <v>188</v>
      </c>
      <c r="D66" s="22" t="s">
        <v>189</v>
      </c>
      <c r="E66" s="20">
        <v>14</v>
      </c>
      <c r="F66" s="20">
        <f>$E66*Parameters!B$10+Parameters!B$8+Parameters!B$9</f>
        <v>304</v>
      </c>
      <c r="G66" s="20">
        <f>$E66*Parameters!C$10+Parameters!C$8+Parameters!C$9</f>
        <v>38.666666666666664</v>
      </c>
      <c r="H66" s="20">
        <f>$E66*Parameters!D$10+Parameters!D$8+Parameters!D$9</f>
        <v>22.074074074074073</v>
      </c>
      <c r="J66" s="22"/>
    </row>
    <row r="67" spans="2:10" s="20" customFormat="1" ht="16.5">
      <c r="B67" s="20" t="s">
        <v>190</v>
      </c>
      <c r="D67" s="22"/>
      <c r="F67" s="20">
        <f>Parameters!B$4+Parameters!B$7</f>
        <v>360</v>
      </c>
      <c r="G67" s="20">
        <f>Parameters!C$4+Parameters!C$7</f>
        <v>101.5</v>
      </c>
      <c r="H67" s="20">
        <f>Parameters!D$4+Parameters!D$7</f>
        <v>101.5</v>
      </c>
      <c r="J67" s="22"/>
    </row>
    <row r="68" spans="1:2" ht="12">
      <c r="A68" s="23"/>
      <c r="B68" s="23"/>
    </row>
    <row r="69" spans="1:11" ht="12">
      <c r="A69" s="24" t="s">
        <v>110</v>
      </c>
      <c r="B69" s="24"/>
      <c r="C69" s="25">
        <f>COUNTA(C$4:C67)</f>
        <v>9</v>
      </c>
      <c r="D69" s="16"/>
      <c r="F69">
        <f>F64+F60+F56+F52+F48+F44+F40+F36+F32+F28+F24+F20+F16+F12+F8+F4</f>
        <v>22392</v>
      </c>
      <c r="G69">
        <f>G64+G60+G56+G52+G48+G44+G40+G36+G32+G28+G24+G20+G16+G12+G8+G4</f>
        <v>3539.9999999999995</v>
      </c>
      <c r="H69">
        <f>H64+H60+H56+H52+H48+H44+H40+H36+H32+H28+H24+H20+H16+H12+H8+H4</f>
        <v>677.7777777777778</v>
      </c>
      <c r="I69" s="26">
        <f>COUNTA(I$4:I67)</f>
        <v>11</v>
      </c>
      <c r="J69" s="27">
        <f>COUNTA(J$4:J67)</f>
        <v>6</v>
      </c>
      <c r="K69" s="28">
        <f>COUNTA(K$4:K67)</f>
        <v>3</v>
      </c>
    </row>
    <row r="70" spans="1:11" ht="12">
      <c r="A70" s="24" t="s">
        <v>111</v>
      </c>
      <c r="B70" s="24"/>
      <c r="C70" s="29"/>
      <c r="D70" s="16"/>
      <c r="G70" s="30"/>
      <c r="H70" s="30"/>
      <c r="I70" s="31"/>
      <c r="J70" s="32"/>
      <c r="K70" s="33"/>
    </row>
    <row r="71" spans="1:11" ht="12">
      <c r="A71" s="34" t="s">
        <v>112</v>
      </c>
      <c r="B71" s="35">
        <v>1000</v>
      </c>
      <c r="C71" s="36">
        <f>C$69*$B71</f>
        <v>9000</v>
      </c>
      <c r="D71" s="16"/>
      <c r="F71" s="37">
        <f>F$69+$C$71+$I$72+$J$73+$K$74</f>
        <v>63392</v>
      </c>
      <c r="G71" s="37">
        <f>G$69+$C$71+$I$72+$J$73+$K$74</f>
        <v>44540</v>
      </c>
      <c r="H71" s="37">
        <f>H$69+$C$71+$I$72+$J$73+$K$74</f>
        <v>41677.77777777778</v>
      </c>
      <c r="I71" s="31"/>
      <c r="J71" s="32"/>
      <c r="K71" s="33"/>
    </row>
    <row r="72" spans="1:11" ht="12">
      <c r="A72" s="34" t="s">
        <v>113</v>
      </c>
      <c r="B72" s="35">
        <v>1000</v>
      </c>
      <c r="C72" s="29"/>
      <c r="D72" s="16"/>
      <c r="F72" s="37"/>
      <c r="G72" s="37"/>
      <c r="H72" s="37"/>
      <c r="I72" s="36">
        <f>I$69*$B72</f>
        <v>11000</v>
      </c>
      <c r="J72" s="32"/>
      <c r="K72" s="33"/>
    </row>
    <row r="73" spans="1:11" ht="12">
      <c r="A73" s="34" t="s">
        <v>114</v>
      </c>
      <c r="B73" s="35">
        <v>3000</v>
      </c>
      <c r="C73" s="29"/>
      <c r="D73" s="16"/>
      <c r="F73" s="37"/>
      <c r="G73" s="37"/>
      <c r="H73" s="37"/>
      <c r="I73" s="31"/>
      <c r="J73" s="36">
        <f>J$69*$B73</f>
        <v>18000</v>
      </c>
      <c r="K73" s="33"/>
    </row>
    <row r="74" spans="1:11" ht="12">
      <c r="A74" s="34" t="s">
        <v>115</v>
      </c>
      <c r="B74" s="35">
        <v>1000</v>
      </c>
      <c r="C74" s="29"/>
      <c r="D74" s="16"/>
      <c r="F74" s="37"/>
      <c r="G74" s="37"/>
      <c r="H74" s="37"/>
      <c r="I74" s="31"/>
      <c r="J74" s="32"/>
      <c r="K74" s="36">
        <f>K$69*$B74</f>
        <v>3000</v>
      </c>
    </row>
    <row r="75" spans="1:11" ht="12">
      <c r="A75" s="35"/>
      <c r="B75" s="35"/>
      <c r="C75" s="29"/>
      <c r="D75" s="16"/>
      <c r="G75" s="30"/>
      <c r="H75" s="30"/>
      <c r="I75" s="31"/>
      <c r="J75" s="32"/>
      <c r="K75" s="33"/>
    </row>
    <row r="76" spans="1:8" ht="12">
      <c r="A76" s="24" t="s">
        <v>116</v>
      </c>
      <c r="B76" s="24"/>
      <c r="D76" s="16"/>
      <c r="F76">
        <f>SUM(F$4:F67)</f>
        <v>33176</v>
      </c>
      <c r="G76" s="30">
        <f>SUM(G$4:G67)</f>
        <v>6038.666666666668</v>
      </c>
      <c r="H76" s="30">
        <f>SUM(H$4:H67)</f>
        <v>2910.962962962962</v>
      </c>
    </row>
    <row r="77" spans="1:4" ht="12">
      <c r="A77" s="24" t="s">
        <v>117</v>
      </c>
      <c r="B77" s="24"/>
      <c r="D77" s="16"/>
    </row>
    <row r="79" ht="12">
      <c r="A79" t="s">
        <v>118</v>
      </c>
    </row>
    <row r="80" spans="1:11" ht="12">
      <c r="A80" s="24" t="s">
        <v>119</v>
      </c>
      <c r="B80" s="24"/>
      <c r="C80" s="25">
        <f>COUNTA(C$4:C67)</f>
        <v>9</v>
      </c>
      <c r="D80" s="16"/>
      <c r="F80">
        <f>F67+F64+F63+F60+F59+F56+F55+F52+F51+F48+F47+F44+F43+F40+F39+F36+F35+F32+F31+F28+F27+F24+F23+F20+F19+F16+F15+F12+F11+F8+F7+F4</f>
        <v>28152</v>
      </c>
      <c r="G80">
        <f>G67+G64+G63+G60+G59+G56+G55+G52+G51+G48+G47+G44+G43+G40+G39+G36+G35+G32+G31+G28+G27+G24+G23+G20+G19+G16+G15+G12+G11+G8+G7+G4</f>
        <v>5164</v>
      </c>
      <c r="H80">
        <f>H67+H64+H63+H60+H59+H56+H55+H52+H51+H48+H47+H44+H43+H40+H39+H36+H35+H32+H31+H28+H27+H24+H23+H20+H19+H16+H15+H12+H11+H8+H7+H4</f>
        <v>2301.777777777778</v>
      </c>
      <c r="I80" s="25">
        <f>COUNTA(I$4:I67)</f>
        <v>11</v>
      </c>
      <c r="J80" s="25">
        <f>COUNTA(J$4:J67)</f>
        <v>6</v>
      </c>
      <c r="K80" s="25">
        <f>COUNTA(K$4:K67)</f>
        <v>3</v>
      </c>
    </row>
    <row r="81" spans="1:11" ht="12">
      <c r="A81" s="24" t="s">
        <v>111</v>
      </c>
      <c r="B81" s="24"/>
      <c r="C81" s="29"/>
      <c r="D81" s="16"/>
      <c r="G81" s="30"/>
      <c r="H81" s="30"/>
      <c r="I81" s="31"/>
      <c r="J81" s="32"/>
      <c r="K81" s="33"/>
    </row>
    <row r="82" spans="1:11" ht="12">
      <c r="A82" s="34" t="s">
        <v>112</v>
      </c>
      <c r="B82" s="35">
        <v>100</v>
      </c>
      <c r="C82" s="36">
        <f>C$69*$B82</f>
        <v>900</v>
      </c>
      <c r="D82" s="16"/>
      <c r="F82" s="37">
        <f>F$80+$C$71+$I$72+$J$73+$K$74</f>
        <v>69152</v>
      </c>
      <c r="G82" s="37">
        <f>G$80+$C$71+$I$72+$J$73+$K$74</f>
        <v>46164</v>
      </c>
      <c r="H82" s="37">
        <f>H$80+$C$71+$I$72+$J$73+$K$74</f>
        <v>43301.77777777778</v>
      </c>
      <c r="I82" s="31"/>
      <c r="J82" s="32"/>
      <c r="K82" s="33"/>
    </row>
    <row r="83" spans="1:11" ht="12">
      <c r="A83" s="34" t="s">
        <v>113</v>
      </c>
      <c r="B83" s="35">
        <v>100</v>
      </c>
      <c r="C83" s="29"/>
      <c r="D83" s="16"/>
      <c r="F83" s="37"/>
      <c r="G83" s="37"/>
      <c r="H83" s="37"/>
      <c r="I83" s="36">
        <f>I$69*$B83</f>
        <v>1100</v>
      </c>
      <c r="J83" s="32"/>
      <c r="K83" s="33"/>
    </row>
    <row r="84" spans="1:11" ht="12">
      <c r="A84" s="34" t="s">
        <v>114</v>
      </c>
      <c r="B84" s="35">
        <v>3000</v>
      </c>
      <c r="C84" s="29"/>
      <c r="D84" s="16"/>
      <c r="F84" s="37"/>
      <c r="G84" s="37"/>
      <c r="H84" s="37"/>
      <c r="I84" s="31"/>
      <c r="J84" s="36">
        <f>J$69*$B84</f>
        <v>18000</v>
      </c>
      <c r="K84" s="33"/>
    </row>
    <row r="85" spans="1:11" ht="12">
      <c r="A85" s="34" t="s">
        <v>115</v>
      </c>
      <c r="B85" s="35">
        <v>100</v>
      </c>
      <c r="C85" s="29"/>
      <c r="D85" s="16"/>
      <c r="F85" s="37"/>
      <c r="G85" s="37"/>
      <c r="H85" s="37"/>
      <c r="I85" s="31"/>
      <c r="J85" s="32"/>
      <c r="K85" s="36">
        <f>K$69*$B85</f>
        <v>300</v>
      </c>
    </row>
  </sheetData>
  <mergeCells count="12">
    <mergeCell ref="A77:B77"/>
    <mergeCell ref="A80:B80"/>
    <mergeCell ref="A81:B81"/>
    <mergeCell ref="F82:F85"/>
    <mergeCell ref="G82:G85"/>
    <mergeCell ref="H82:H85"/>
    <mergeCell ref="A69:B69"/>
    <mergeCell ref="A70:B70"/>
    <mergeCell ref="F71:F74"/>
    <mergeCell ref="G71:G74"/>
    <mergeCell ref="H71:H74"/>
    <mergeCell ref="A76:B76"/>
  </mergeCells>
  <printOptions/>
  <pageMargins left="0.7900000000000001" right="0.7900000000000001" top="0.98" bottom="0.98" header="0.51" footer="0.51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F14" sqref="F14"/>
    </sheetView>
  </sheetViews>
  <sheetFormatPr defaultColWidth="13.7109375" defaultRowHeight="12.75"/>
  <cols>
    <col min="1" max="1" width="10.00390625" style="0" customWidth="1"/>
    <col min="2" max="2" width="15.7109375" style="0" customWidth="1"/>
    <col min="3" max="3" width="19.140625" style="0" customWidth="1"/>
    <col min="4" max="4" width="12.8515625" style="16" customWidth="1"/>
    <col min="6" max="6" width="10.7109375" style="0" customWidth="1"/>
    <col min="9" max="9" width="18.140625" style="0" customWidth="1"/>
    <col min="10" max="10" width="21.421875" style="15" customWidth="1"/>
    <col min="11" max="11" width="18.140625" style="0" customWidth="1"/>
  </cols>
  <sheetData>
    <row r="1" ht="12">
      <c r="A1" t="s">
        <v>120</v>
      </c>
    </row>
    <row r="2" spans="3:11" s="15" customFormat="1" ht="12">
      <c r="C2" s="15" t="s">
        <v>121</v>
      </c>
      <c r="D2" s="16"/>
      <c r="I2" s="15" t="s">
        <v>122</v>
      </c>
      <c r="K2" s="15" t="s">
        <v>123</v>
      </c>
    </row>
    <row r="3" spans="4:10" s="15" customFormat="1" ht="12">
      <c r="D3" s="16" t="s">
        <v>124</v>
      </c>
      <c r="E3" s="15" t="s">
        <v>125</v>
      </c>
      <c r="F3" s="15" t="s">
        <v>126</v>
      </c>
      <c r="G3" s="15" t="s">
        <v>127</v>
      </c>
      <c r="H3" s="15" t="s">
        <v>128</v>
      </c>
      <c r="J3" s="15" t="s">
        <v>129</v>
      </c>
    </row>
    <row r="4" spans="1:11" s="17" customFormat="1" ht="12">
      <c r="A4" s="17" t="s">
        <v>130</v>
      </c>
      <c r="C4" s="17" t="s">
        <v>131</v>
      </c>
      <c r="D4" s="18" t="s">
        <v>132</v>
      </c>
      <c r="E4" s="17">
        <f>388</f>
        <v>388</v>
      </c>
      <c r="F4" s="17">
        <f>$E4*Parameters!B$10+Parameters!B$8+Parameters!B$9</f>
        <v>3296</v>
      </c>
      <c r="G4" s="17">
        <f>$E4*Parameters!C$10+Parameters!C$8+Parameters!C$9</f>
        <v>537.3333333333333</v>
      </c>
      <c r="H4" s="17">
        <f>$E4*Parameters!D$10+Parameters!D$8+Parameters!D$9</f>
        <v>77.48148148148148</v>
      </c>
      <c r="I4" s="17" t="s">
        <v>192</v>
      </c>
      <c r="J4" s="18" t="s">
        <v>194</v>
      </c>
      <c r="K4" s="17" t="s">
        <v>192</v>
      </c>
    </row>
    <row r="5" spans="2:10" s="20" customFormat="1" ht="16.5">
      <c r="B5" s="20" t="s">
        <v>133</v>
      </c>
      <c r="D5" s="38"/>
      <c r="F5" s="20">
        <f>Parameters!B$3</f>
        <v>10</v>
      </c>
      <c r="G5" s="20">
        <f>Parameters!C$3</f>
        <v>16</v>
      </c>
      <c r="H5" s="20">
        <f>Parameters!D$3</f>
        <v>16</v>
      </c>
      <c r="J5" s="22"/>
    </row>
    <row r="6" spans="1:10" s="20" customFormat="1" ht="16.5">
      <c r="A6" s="20" t="s">
        <v>188</v>
      </c>
      <c r="D6" s="38" t="s">
        <v>134</v>
      </c>
      <c r="E6" s="20">
        <v>14</v>
      </c>
      <c r="F6" s="20">
        <f>$E6*Parameters!B$10+Parameters!B$8+Parameters!B$9</f>
        <v>304</v>
      </c>
      <c r="G6" s="20">
        <f>$E6*Parameters!C$10+Parameters!C$8+Parameters!C$9</f>
        <v>38.666666666666664</v>
      </c>
      <c r="H6" s="20">
        <f>$E6*Parameters!D$10+Parameters!D$8+Parameters!D$9</f>
        <v>22.074074074074073</v>
      </c>
      <c r="J6" s="22"/>
    </row>
    <row r="7" spans="2:10" s="20" customFormat="1" ht="16.5">
      <c r="B7" s="20" t="s">
        <v>190</v>
      </c>
      <c r="D7" s="38"/>
      <c r="F7" s="20">
        <f>Parameters!B$4+Parameters!B$7</f>
        <v>360</v>
      </c>
      <c r="G7" s="20">
        <f>Parameters!C$4+Parameters!C$7</f>
        <v>101.5</v>
      </c>
      <c r="H7" s="20">
        <f>Parameters!D$4+Parameters!D$7</f>
        <v>101.5</v>
      </c>
      <c r="J7" s="22"/>
    </row>
    <row r="8" spans="1:10" s="17" customFormat="1" ht="12">
      <c r="A8" s="17" t="s">
        <v>135</v>
      </c>
      <c r="C8" s="17" t="s">
        <v>184</v>
      </c>
      <c r="D8" s="18" t="s">
        <v>136</v>
      </c>
      <c r="E8" s="17">
        <f>1380</f>
        <v>1380</v>
      </c>
      <c r="F8" s="17">
        <f>$E8*Parameters!B$10+Parameters!B$8+Parameters!B$9</f>
        <v>11232</v>
      </c>
      <c r="G8" s="17">
        <f>$E8*Parameters!C$10+Parameters!C$8+Parameters!C$9</f>
        <v>1860</v>
      </c>
      <c r="H8" s="17">
        <f>$E8*Parameters!D$10+Parameters!D$8+Parameters!D$9</f>
        <v>224.44444444444443</v>
      </c>
      <c r="I8" s="17" t="s">
        <v>184</v>
      </c>
      <c r="J8" s="18" t="s">
        <v>136</v>
      </c>
    </row>
    <row r="9" spans="2:10" s="20" customFormat="1" ht="16.5">
      <c r="B9" s="20" t="s">
        <v>187</v>
      </c>
      <c r="D9" s="38"/>
      <c r="F9" s="20">
        <f>Parameters!B$3</f>
        <v>10</v>
      </c>
      <c r="G9" s="20">
        <f>Parameters!C$3</f>
        <v>16</v>
      </c>
      <c r="H9" s="20">
        <f>Parameters!D$3</f>
        <v>16</v>
      </c>
      <c r="J9" s="22"/>
    </row>
    <row r="10" spans="1:10" s="20" customFormat="1" ht="16.5">
      <c r="A10" s="20" t="s">
        <v>188</v>
      </c>
      <c r="D10" s="38" t="s">
        <v>105</v>
      </c>
      <c r="E10" s="20">
        <v>14</v>
      </c>
      <c r="F10" s="20">
        <f>$E10*Parameters!B$10+Parameters!B$8+Parameters!B$9</f>
        <v>304</v>
      </c>
      <c r="G10" s="20">
        <f>$E10*Parameters!C$10+Parameters!C$8+Parameters!C$9</f>
        <v>38.666666666666664</v>
      </c>
      <c r="H10" s="20">
        <f>$E10*Parameters!D$10+Parameters!D$8+Parameters!D$9</f>
        <v>22.074074074074073</v>
      </c>
      <c r="J10" s="22"/>
    </row>
    <row r="11" spans="2:10" s="20" customFormat="1" ht="16.5">
      <c r="B11" s="20" t="s">
        <v>106</v>
      </c>
      <c r="D11" s="38"/>
      <c r="F11" s="20">
        <f>Parameters!B$4+Parameters!B$7</f>
        <v>360</v>
      </c>
      <c r="G11" s="20">
        <f>Parameters!C$4+Parameters!C$7</f>
        <v>101.5</v>
      </c>
      <c r="H11" s="20">
        <f>Parameters!D$4+Parameters!D$7</f>
        <v>101.5</v>
      </c>
      <c r="J11" s="22"/>
    </row>
    <row r="12" spans="1:10" s="17" customFormat="1" ht="12">
      <c r="A12" s="17" t="s">
        <v>137</v>
      </c>
      <c r="D12" s="18" t="s">
        <v>194</v>
      </c>
      <c r="E12" s="17">
        <v>852</v>
      </c>
      <c r="F12" s="17">
        <f>$E12*Parameters!B$10+Parameters!B$8+Parameters!B$9</f>
        <v>7008</v>
      </c>
      <c r="G12" s="17">
        <f>$E12*Parameters!C$10+Parameters!C$8+Parameters!C$9</f>
        <v>1156</v>
      </c>
      <c r="H12" s="17">
        <f>$E12*Parameters!D$10+Parameters!D$8+Parameters!D$9</f>
        <v>146.22222222222223</v>
      </c>
      <c r="J12" s="19"/>
    </row>
    <row r="13" spans="2:10" s="20" customFormat="1" ht="16.5">
      <c r="B13" s="20" t="s">
        <v>193</v>
      </c>
      <c r="D13" s="38"/>
      <c r="F13" s="20">
        <f>Parameters!B$3</f>
        <v>10</v>
      </c>
      <c r="G13" s="20">
        <f>Parameters!C$3</f>
        <v>16</v>
      </c>
      <c r="H13" s="20">
        <f>Parameters!D$3</f>
        <v>16</v>
      </c>
      <c r="J13" s="22"/>
    </row>
    <row r="14" spans="1:10" s="20" customFormat="1" ht="16.5">
      <c r="A14" s="20" t="s">
        <v>188</v>
      </c>
      <c r="D14" s="38" t="s">
        <v>189</v>
      </c>
      <c r="E14" s="20">
        <v>14</v>
      </c>
      <c r="F14" s="20">
        <f>$E14*Parameters!B$10+Parameters!B$8+Parameters!B$9</f>
        <v>304</v>
      </c>
      <c r="G14" s="20">
        <f>$E14*Parameters!C$10+Parameters!C$8+Parameters!C$9</f>
        <v>38.666666666666664</v>
      </c>
      <c r="H14" s="20">
        <f>$E14*Parameters!D$10+Parameters!D$8+Parameters!D$9</f>
        <v>22.074074074074073</v>
      </c>
      <c r="J14" s="22"/>
    </row>
    <row r="15" spans="2:10" s="20" customFormat="1" ht="16.5">
      <c r="B15" s="20" t="s">
        <v>190</v>
      </c>
      <c r="D15" s="38"/>
      <c r="F15" s="20">
        <f>Parameters!B$4+Parameters!B$7</f>
        <v>360</v>
      </c>
      <c r="G15" s="20">
        <f>Parameters!C$4+Parameters!C$7</f>
        <v>101.5</v>
      </c>
      <c r="H15" s="20">
        <f>Parameters!D$4+Parameters!D$7</f>
        <v>101.5</v>
      </c>
      <c r="J15" s="22"/>
    </row>
    <row r="16" spans="4:10" s="20" customFormat="1" ht="16.5">
      <c r="D16" s="38"/>
      <c r="G16" s="39"/>
      <c r="H16" s="39"/>
      <c r="J16" s="22"/>
    </row>
    <row r="17" spans="1:11" ht="12">
      <c r="A17" s="24" t="s">
        <v>110</v>
      </c>
      <c r="B17" s="24"/>
      <c r="C17" s="25">
        <f>COUNTA(C4:C14)</f>
        <v>2</v>
      </c>
      <c r="F17">
        <f>F4+F8+F12</f>
        <v>21536</v>
      </c>
      <c r="G17" s="30">
        <f>G4+G8+G12</f>
        <v>3553.333333333333</v>
      </c>
      <c r="H17" s="30">
        <f>H4+H8+H12</f>
        <v>448.14814814814815</v>
      </c>
      <c r="I17" s="26">
        <f>COUNTA(I4:I14)</f>
        <v>2</v>
      </c>
      <c r="J17" s="40">
        <f>COUNTA(J4:J14)</f>
        <v>2</v>
      </c>
      <c r="K17" s="28">
        <f>COUNTA(K4:K14)</f>
        <v>1</v>
      </c>
    </row>
    <row r="18" spans="1:11" ht="12">
      <c r="A18" s="24" t="s">
        <v>111</v>
      </c>
      <c r="B18" s="24"/>
      <c r="C18" s="29"/>
      <c r="G18" s="30"/>
      <c r="H18" s="30"/>
      <c r="I18" s="31"/>
      <c r="J18" s="32"/>
      <c r="K18" s="33"/>
    </row>
    <row r="19" spans="1:11" ht="12">
      <c r="A19" s="34" t="s">
        <v>112</v>
      </c>
      <c r="B19" s="35">
        <v>1000</v>
      </c>
      <c r="C19" s="36">
        <f>C$17*$B19</f>
        <v>2000</v>
      </c>
      <c r="F19" s="37">
        <f>F17+$C$19+$I$20+$J$21+$K$22</f>
        <v>32536</v>
      </c>
      <c r="G19" s="41">
        <f>G17+$C$19+$I$20+$J$21+$K$22</f>
        <v>14553.333333333332</v>
      </c>
      <c r="H19" s="41">
        <f>H17+$C$19+$I$20+$J$21+$K$22</f>
        <v>11448.148148148148</v>
      </c>
      <c r="I19" s="31"/>
      <c r="J19" s="32"/>
      <c r="K19" s="33"/>
    </row>
    <row r="20" spans="1:11" ht="12">
      <c r="A20" s="34" t="s">
        <v>138</v>
      </c>
      <c r="B20" s="35">
        <v>1000</v>
      </c>
      <c r="C20" s="29"/>
      <c r="F20" s="37"/>
      <c r="G20" s="41"/>
      <c r="H20" s="41"/>
      <c r="I20" s="36">
        <f>I$17*$B20</f>
        <v>2000</v>
      </c>
      <c r="J20" s="32"/>
      <c r="K20" s="33"/>
    </row>
    <row r="21" spans="1:11" ht="12">
      <c r="A21" s="34" t="s">
        <v>114</v>
      </c>
      <c r="B21" s="35">
        <v>3000</v>
      </c>
      <c r="C21" s="29"/>
      <c r="F21" s="37"/>
      <c r="G21" s="41"/>
      <c r="H21" s="41"/>
      <c r="I21" s="31"/>
      <c r="J21" s="36">
        <f>J$17*$B21</f>
        <v>6000</v>
      </c>
      <c r="K21" s="33"/>
    </row>
    <row r="22" spans="1:11" ht="12">
      <c r="A22" s="34" t="s">
        <v>115</v>
      </c>
      <c r="B22" s="35">
        <v>1000</v>
      </c>
      <c r="C22" s="29"/>
      <c r="F22" s="37"/>
      <c r="G22" s="41"/>
      <c r="H22" s="41"/>
      <c r="I22" s="31"/>
      <c r="J22" s="32"/>
      <c r="K22" s="36">
        <f>K$17*$B22</f>
        <v>1000</v>
      </c>
    </row>
    <row r="23" spans="1:11" ht="12">
      <c r="A23" s="35"/>
      <c r="B23" s="35"/>
      <c r="C23" s="29"/>
      <c r="G23" s="30"/>
      <c r="H23" s="30"/>
      <c r="I23" s="31"/>
      <c r="J23" s="32"/>
      <c r="K23" s="33"/>
    </row>
    <row r="24" spans="1:8" ht="12">
      <c r="A24" s="24" t="s">
        <v>116</v>
      </c>
      <c r="B24" s="24"/>
      <c r="F24">
        <f>SUM(F4:F15)</f>
        <v>23558</v>
      </c>
      <c r="G24" s="30">
        <f>SUM(G4:G15)</f>
        <v>4021.833333333333</v>
      </c>
      <c r="H24" s="30">
        <f>SUM(H4:H15)</f>
        <v>866.8703703703703</v>
      </c>
    </row>
    <row r="25" spans="1:2" ht="12">
      <c r="A25" s="24" t="s">
        <v>139</v>
      </c>
      <c r="B25" s="24"/>
    </row>
    <row r="27" ht="12">
      <c r="A27" t="s">
        <v>140</v>
      </c>
    </row>
    <row r="28" spans="1:11" ht="12">
      <c r="A28" s="24" t="s">
        <v>141</v>
      </c>
      <c r="B28" s="24"/>
      <c r="C28" s="25">
        <f>COUNTA(C4:C15)</f>
        <v>2</v>
      </c>
      <c r="F28">
        <f>F12+F11+F8+F7+F4</f>
        <v>22256</v>
      </c>
      <c r="G28">
        <f>G12+G11+G8+G7+G4</f>
        <v>3756.333333333333</v>
      </c>
      <c r="H28">
        <f>H12+H11+H8+H7+H4</f>
        <v>651.1481481481482</v>
      </c>
      <c r="I28" s="25">
        <f>COUNTA(I4:I15)</f>
        <v>2</v>
      </c>
      <c r="J28" s="25">
        <f>COUNTA(J4:J15)</f>
        <v>2</v>
      </c>
      <c r="K28" s="25">
        <f>COUNTA(K4:K15)</f>
        <v>1</v>
      </c>
    </row>
    <row r="29" spans="1:11" ht="12">
      <c r="A29" s="24" t="s">
        <v>142</v>
      </c>
      <c r="B29" s="24"/>
      <c r="C29" s="29"/>
      <c r="G29" s="30"/>
      <c r="H29" s="30"/>
      <c r="I29" s="31"/>
      <c r="J29" s="32"/>
      <c r="K29" s="33"/>
    </row>
    <row r="30" spans="1:11" ht="12">
      <c r="A30" s="34" t="s">
        <v>143</v>
      </c>
      <c r="B30" s="35">
        <v>100</v>
      </c>
      <c r="C30" s="36">
        <f>C$17*$B30</f>
        <v>200</v>
      </c>
      <c r="F30" s="37">
        <f>F28+$C$19+$I$20+$J$21+$K$22</f>
        <v>33256</v>
      </c>
      <c r="G30" s="41">
        <f>G28+$C$19+$I$20+$J$21+$K$22</f>
        <v>14756.333333333332</v>
      </c>
      <c r="H30" s="41">
        <f>H28+$C$19+$I$20+$J$21+$K$22</f>
        <v>11651.148148148148</v>
      </c>
      <c r="I30" s="31"/>
      <c r="J30" s="32"/>
      <c r="K30" s="33"/>
    </row>
    <row r="31" spans="1:11" ht="12">
      <c r="A31" s="34" t="s">
        <v>113</v>
      </c>
      <c r="B31" s="35">
        <v>100</v>
      </c>
      <c r="C31" s="29"/>
      <c r="F31" s="37"/>
      <c r="G31" s="41"/>
      <c r="H31" s="41"/>
      <c r="I31" s="36">
        <f>I$17*$B31</f>
        <v>200</v>
      </c>
      <c r="J31" s="32"/>
      <c r="K31" s="33"/>
    </row>
    <row r="32" spans="1:11" ht="12">
      <c r="A32" s="34" t="s">
        <v>114</v>
      </c>
      <c r="B32" s="35">
        <v>3000</v>
      </c>
      <c r="C32" s="29"/>
      <c r="F32" s="37"/>
      <c r="G32" s="41"/>
      <c r="H32" s="41"/>
      <c r="I32" s="31"/>
      <c r="J32" s="36">
        <f>J$17*$B32</f>
        <v>6000</v>
      </c>
      <c r="K32" s="33"/>
    </row>
    <row r="33" spans="1:11" ht="12">
      <c r="A33" s="34" t="s">
        <v>115</v>
      </c>
      <c r="B33" s="35">
        <v>100</v>
      </c>
      <c r="C33" s="29"/>
      <c r="F33" s="37"/>
      <c r="G33" s="41"/>
      <c r="H33" s="41"/>
      <c r="I33" s="31"/>
      <c r="J33" s="32"/>
      <c r="K33" s="36">
        <f>K$17*$B33</f>
        <v>100</v>
      </c>
    </row>
  </sheetData>
  <mergeCells count="12">
    <mergeCell ref="A25:B25"/>
    <mergeCell ref="A28:B28"/>
    <mergeCell ref="A29:B29"/>
    <mergeCell ref="F30:F33"/>
    <mergeCell ref="G30:G33"/>
    <mergeCell ref="H30:H33"/>
    <mergeCell ref="A17:B17"/>
    <mergeCell ref="A18:B18"/>
    <mergeCell ref="F19:F22"/>
    <mergeCell ref="G19:G22"/>
    <mergeCell ref="H19:H22"/>
    <mergeCell ref="A24:B24"/>
  </mergeCells>
  <printOptions/>
  <pageMargins left="0.7900000000000001" right="0.7900000000000001" top="0.98" bottom="0.98" header="0.51" footer="0.51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F14" sqref="F14"/>
    </sheetView>
  </sheetViews>
  <sheetFormatPr defaultColWidth="13.7109375" defaultRowHeight="12.75"/>
  <cols>
    <col min="1" max="1" width="10.00390625" style="0" customWidth="1"/>
    <col min="2" max="2" width="15.7109375" style="0" customWidth="1"/>
    <col min="3" max="3" width="19.140625" style="0" customWidth="1"/>
    <col min="4" max="4" width="12.8515625" style="16" customWidth="1"/>
    <col min="6" max="6" width="10.7109375" style="0" customWidth="1"/>
    <col min="9" max="9" width="18.140625" style="0" customWidth="1"/>
    <col min="10" max="10" width="21.421875" style="15" customWidth="1"/>
    <col min="11" max="11" width="18.140625" style="0" customWidth="1"/>
  </cols>
  <sheetData>
    <row r="1" ht="12">
      <c r="A1" t="s">
        <v>120</v>
      </c>
    </row>
    <row r="2" spans="3:11" s="15" customFormat="1" ht="12">
      <c r="C2" s="15" t="s">
        <v>121</v>
      </c>
      <c r="D2" s="16"/>
      <c r="I2" s="15" t="s">
        <v>122</v>
      </c>
      <c r="K2" s="15" t="s">
        <v>123</v>
      </c>
    </row>
    <row r="3" spans="4:10" s="15" customFormat="1" ht="12">
      <c r="D3" s="16" t="s">
        <v>124</v>
      </c>
      <c r="E3" s="15" t="s">
        <v>125</v>
      </c>
      <c r="F3" s="15" t="s">
        <v>126</v>
      </c>
      <c r="G3" s="15" t="s">
        <v>127</v>
      </c>
      <c r="H3" s="15" t="s">
        <v>128</v>
      </c>
      <c r="J3" s="15" t="s">
        <v>124</v>
      </c>
    </row>
    <row r="4" spans="1:11" s="17" customFormat="1" ht="12">
      <c r="A4" s="17" t="s">
        <v>144</v>
      </c>
      <c r="C4" s="17" t="s">
        <v>192</v>
      </c>
      <c r="D4" s="18" t="s">
        <v>194</v>
      </c>
      <c r="E4" s="17">
        <f>388+100</f>
        <v>488</v>
      </c>
      <c r="F4" s="17">
        <f>$E4*Parameters!B$10+Parameters!B$8+Parameters!B$9</f>
        <v>4096</v>
      </c>
      <c r="G4" s="17">
        <f>$E4*Parameters!C$10+Parameters!C$8+Parameters!C$9</f>
        <v>670.6666666666666</v>
      </c>
      <c r="H4" s="17">
        <f>$E4*Parameters!D$10+Parameters!D$8+Parameters!D$9</f>
        <v>92.29629629629629</v>
      </c>
      <c r="I4" s="17" t="s">
        <v>192</v>
      </c>
      <c r="J4" s="18" t="s">
        <v>194</v>
      </c>
      <c r="K4" s="17" t="s">
        <v>192</v>
      </c>
    </row>
    <row r="5" spans="2:10" s="20" customFormat="1" ht="16.5">
      <c r="B5" s="20" t="s">
        <v>193</v>
      </c>
      <c r="D5" s="38"/>
      <c r="F5" s="20">
        <f>Parameters!B$3</f>
        <v>10</v>
      </c>
      <c r="G5" s="20">
        <f>Parameters!C$3</f>
        <v>16</v>
      </c>
      <c r="H5" s="20">
        <f>Parameters!D$3</f>
        <v>16</v>
      </c>
      <c r="J5" s="22"/>
    </row>
    <row r="6" spans="1:10" s="20" customFormat="1" ht="16.5">
      <c r="A6" s="20" t="s">
        <v>188</v>
      </c>
      <c r="D6" s="38" t="s">
        <v>189</v>
      </c>
      <c r="E6" s="20">
        <v>14</v>
      </c>
      <c r="F6" s="20">
        <f>$E6*Parameters!B$10+Parameters!B$8+Parameters!B$9</f>
        <v>304</v>
      </c>
      <c r="G6" s="20">
        <f>$E6*Parameters!C$10+Parameters!C$8+Parameters!C$9</f>
        <v>38.666666666666664</v>
      </c>
      <c r="H6" s="20">
        <f>$E6*Parameters!D$10+Parameters!D$8+Parameters!D$9</f>
        <v>22.074074074074073</v>
      </c>
      <c r="J6" s="22"/>
    </row>
    <row r="7" spans="2:10" s="20" customFormat="1" ht="16.5">
      <c r="B7" s="20" t="s">
        <v>190</v>
      </c>
      <c r="D7" s="38"/>
      <c r="F7" s="20">
        <f>Parameters!B$4+Parameters!B$7</f>
        <v>360</v>
      </c>
      <c r="G7" s="20">
        <f>Parameters!C$4+Parameters!C$7</f>
        <v>101.5</v>
      </c>
      <c r="H7" s="20">
        <f>Parameters!D$4+Parameters!D$7</f>
        <v>101.5</v>
      </c>
      <c r="J7" s="22"/>
    </row>
    <row r="8" spans="1:10" s="17" customFormat="1" ht="12">
      <c r="A8" s="17" t="s">
        <v>145</v>
      </c>
      <c r="C8" s="17" t="s">
        <v>192</v>
      </c>
      <c r="D8" s="18" t="s">
        <v>189</v>
      </c>
      <c r="E8" s="17">
        <f>1380+100</f>
        <v>1480</v>
      </c>
      <c r="F8" s="17">
        <f>$E8*Parameters!B$10+Parameters!B$8+Parameters!B$9</f>
        <v>12032</v>
      </c>
      <c r="G8" s="17">
        <f>$E8*Parameters!C$10+Parameters!C$8+Parameters!C$9</f>
        <v>1993.3333333333333</v>
      </c>
      <c r="H8" s="17">
        <f>$E8*Parameters!D$10+Parameters!D$8+Parameters!D$9</f>
        <v>239.25925925925924</v>
      </c>
      <c r="I8" s="17" t="s">
        <v>192</v>
      </c>
      <c r="J8" s="18" t="s">
        <v>189</v>
      </c>
    </row>
    <row r="9" spans="2:10" s="20" customFormat="1" ht="16.5">
      <c r="B9" s="20" t="s">
        <v>193</v>
      </c>
      <c r="D9" s="38"/>
      <c r="F9" s="20">
        <f>Parameters!B$3</f>
        <v>10</v>
      </c>
      <c r="G9" s="20">
        <f>Parameters!C$3</f>
        <v>16</v>
      </c>
      <c r="H9" s="20">
        <f>Parameters!D$3</f>
        <v>16</v>
      </c>
      <c r="J9" s="22"/>
    </row>
    <row r="10" spans="1:10" s="20" customFormat="1" ht="16.5">
      <c r="A10" s="20" t="s">
        <v>188</v>
      </c>
      <c r="D10" s="38" t="s">
        <v>194</v>
      </c>
      <c r="E10" s="20">
        <v>14</v>
      </c>
      <c r="F10" s="20">
        <f>$E10*Parameters!B$10+Parameters!B$8+Parameters!B$9</f>
        <v>304</v>
      </c>
      <c r="G10" s="20">
        <f>$E10*Parameters!C$10+Parameters!C$8+Parameters!C$9</f>
        <v>38.666666666666664</v>
      </c>
      <c r="H10" s="20">
        <f>$E10*Parameters!D$10+Parameters!D$8+Parameters!D$9</f>
        <v>22.074074074074073</v>
      </c>
      <c r="J10" s="22"/>
    </row>
    <row r="11" spans="2:10" s="20" customFormat="1" ht="16.5">
      <c r="B11" s="20" t="s">
        <v>190</v>
      </c>
      <c r="D11" s="38"/>
      <c r="F11" s="20">
        <f>Parameters!B$4+Parameters!B$7</f>
        <v>360</v>
      </c>
      <c r="G11" s="20">
        <f>Parameters!C$4+Parameters!C$7</f>
        <v>101.5</v>
      </c>
      <c r="H11" s="20">
        <f>Parameters!D$4+Parameters!D$7</f>
        <v>101.5</v>
      </c>
      <c r="J11" s="22"/>
    </row>
    <row r="12" spans="1:10" s="17" customFormat="1" ht="12">
      <c r="A12" s="17" t="s">
        <v>137</v>
      </c>
      <c r="D12" s="18" t="s">
        <v>194</v>
      </c>
      <c r="E12" s="17">
        <v>852</v>
      </c>
      <c r="F12" s="17">
        <f>$E12*Parameters!B$10+Parameters!B$8+Parameters!B$9</f>
        <v>7008</v>
      </c>
      <c r="G12" s="17">
        <f>$E12*Parameters!C$10+Parameters!C$8+Parameters!C$9</f>
        <v>1156</v>
      </c>
      <c r="H12" s="17">
        <f>$E12*Parameters!D$10+Parameters!D$8+Parameters!D$9</f>
        <v>146.22222222222223</v>
      </c>
      <c r="J12" s="19"/>
    </row>
    <row r="13" spans="2:10" s="20" customFormat="1" ht="16.5">
      <c r="B13" s="20" t="s">
        <v>193</v>
      </c>
      <c r="D13" s="38"/>
      <c r="F13" s="20">
        <f>Parameters!B$3</f>
        <v>10</v>
      </c>
      <c r="G13" s="20">
        <f>Parameters!C$3</f>
        <v>16</v>
      </c>
      <c r="H13" s="20">
        <f>Parameters!D$3</f>
        <v>16</v>
      </c>
      <c r="J13" s="22"/>
    </row>
    <row r="14" spans="1:10" s="20" customFormat="1" ht="16.5">
      <c r="A14" s="20" t="s">
        <v>188</v>
      </c>
      <c r="D14" s="38" t="s">
        <v>189</v>
      </c>
      <c r="E14" s="20">
        <v>14</v>
      </c>
      <c r="F14" s="20">
        <f>$E14*Parameters!B$10+Parameters!B$8+Parameters!B$9</f>
        <v>304</v>
      </c>
      <c r="G14" s="20">
        <f>$E14*Parameters!C$10+Parameters!C$8+Parameters!C$9</f>
        <v>38.666666666666664</v>
      </c>
      <c r="H14" s="20">
        <f>$E14*Parameters!D$10+Parameters!D$8+Parameters!D$9</f>
        <v>22.074074074074073</v>
      </c>
      <c r="J14" s="22"/>
    </row>
    <row r="15" spans="2:10" s="20" customFormat="1" ht="16.5">
      <c r="B15" s="20" t="s">
        <v>190</v>
      </c>
      <c r="D15" s="38"/>
      <c r="F15" s="20">
        <f>Parameters!B$4+Parameters!B$7</f>
        <v>360</v>
      </c>
      <c r="G15" s="20">
        <f>Parameters!C$4+Parameters!C$7</f>
        <v>101.5</v>
      </c>
      <c r="H15" s="20">
        <f>Parameters!D$4+Parameters!D$7</f>
        <v>101.5</v>
      </c>
      <c r="J15" s="22"/>
    </row>
    <row r="16" spans="4:10" s="20" customFormat="1" ht="16.5">
      <c r="D16" s="38"/>
      <c r="G16" s="39"/>
      <c r="H16" s="39"/>
      <c r="J16" s="22"/>
    </row>
    <row r="17" spans="1:11" ht="12">
      <c r="A17" s="24" t="s">
        <v>110</v>
      </c>
      <c r="B17" s="24"/>
      <c r="C17" s="25">
        <f>COUNTA(C4:C14)</f>
        <v>2</v>
      </c>
      <c r="F17">
        <f>F4+F8+F12</f>
        <v>23136</v>
      </c>
      <c r="G17" s="30">
        <f>G4+G8+G12</f>
        <v>3820</v>
      </c>
      <c r="H17" s="30">
        <f>H4+H8+H12</f>
        <v>477.77777777777777</v>
      </c>
      <c r="I17" s="26">
        <f>COUNTA(I4:I14)</f>
        <v>2</v>
      </c>
      <c r="J17" s="40">
        <f>COUNTA(J4:J14)</f>
        <v>2</v>
      </c>
      <c r="K17" s="28">
        <f>COUNTA(K4:K14)</f>
        <v>1</v>
      </c>
    </row>
    <row r="18" spans="1:11" ht="12">
      <c r="A18" s="24" t="s">
        <v>146</v>
      </c>
      <c r="B18" s="24"/>
      <c r="C18" s="29"/>
      <c r="G18" s="30"/>
      <c r="H18" s="30"/>
      <c r="I18" s="31"/>
      <c r="J18" s="32"/>
      <c r="K18" s="33"/>
    </row>
    <row r="19" spans="1:11" ht="12">
      <c r="A19" s="34" t="s">
        <v>147</v>
      </c>
      <c r="B19" s="35">
        <v>100</v>
      </c>
      <c r="C19" s="36">
        <f>C$17*$B19</f>
        <v>200</v>
      </c>
      <c r="F19" s="37">
        <f>F17+$C$19+$I$20+$J$21+$K$22</f>
        <v>29636</v>
      </c>
      <c r="G19" s="41">
        <f>G17+$C$19+$I$20+$J$21+$K$22</f>
        <v>10320</v>
      </c>
      <c r="H19" s="41">
        <f>H17+$C$19+$I$20+$J$21+$K$22</f>
        <v>6977.777777777777</v>
      </c>
      <c r="I19" s="31"/>
      <c r="J19" s="32"/>
      <c r="K19" s="33"/>
    </row>
    <row r="20" spans="1:11" ht="12">
      <c r="A20" s="34" t="s">
        <v>138</v>
      </c>
      <c r="B20" s="35">
        <v>100</v>
      </c>
      <c r="C20" s="29"/>
      <c r="F20" s="37"/>
      <c r="G20" s="41"/>
      <c r="H20" s="41"/>
      <c r="I20" s="36">
        <f>I$17*$B20</f>
        <v>200</v>
      </c>
      <c r="J20" s="32"/>
      <c r="K20" s="33"/>
    </row>
    <row r="21" spans="1:11" ht="12">
      <c r="A21" s="34" t="s">
        <v>42</v>
      </c>
      <c r="B21" s="35">
        <v>3000</v>
      </c>
      <c r="C21" s="29"/>
      <c r="F21" s="37"/>
      <c r="G21" s="41"/>
      <c r="H21" s="41"/>
      <c r="I21" s="31"/>
      <c r="J21" s="36">
        <f>J$17*$B21</f>
        <v>6000</v>
      </c>
      <c r="K21" s="33"/>
    </row>
    <row r="22" spans="1:11" ht="12">
      <c r="A22" s="34" t="s">
        <v>43</v>
      </c>
      <c r="B22" s="35">
        <v>100</v>
      </c>
      <c r="C22" s="29"/>
      <c r="F22" s="37"/>
      <c r="G22" s="41"/>
      <c r="H22" s="41"/>
      <c r="I22" s="31"/>
      <c r="J22" s="32"/>
      <c r="K22" s="36">
        <f>K$17*$B22</f>
        <v>100</v>
      </c>
    </row>
    <row r="23" spans="1:11" ht="12">
      <c r="A23" s="35"/>
      <c r="B23" s="35"/>
      <c r="C23" s="29"/>
      <c r="G23" s="30"/>
      <c r="H23" s="30"/>
      <c r="I23" s="31"/>
      <c r="J23" s="32"/>
      <c r="K23" s="33"/>
    </row>
    <row r="24" spans="1:8" ht="12">
      <c r="A24" s="24" t="s">
        <v>44</v>
      </c>
      <c r="B24" s="24"/>
      <c r="F24">
        <f>SUM(F4:F15)</f>
        <v>25158</v>
      </c>
      <c r="G24" s="30">
        <f>SUM(G4:G15)</f>
        <v>4288.5</v>
      </c>
      <c r="H24" s="30">
        <f>SUM(H4:H15)</f>
        <v>896.4999999999999</v>
      </c>
    </row>
    <row r="25" spans="1:2" ht="12">
      <c r="A25" s="24" t="s">
        <v>139</v>
      </c>
      <c r="B25" s="24"/>
    </row>
    <row r="27" ht="12">
      <c r="A27" t="s">
        <v>45</v>
      </c>
    </row>
    <row r="28" spans="1:11" ht="12">
      <c r="A28" s="24" t="s">
        <v>141</v>
      </c>
      <c r="B28" s="24"/>
      <c r="C28" s="25">
        <f>COUNTA(C4:C15)</f>
        <v>2</v>
      </c>
      <c r="F28">
        <f>F12+F11+F8+F7+F4</f>
        <v>23856</v>
      </c>
      <c r="G28">
        <f>G12+G11+G8+G7+G4</f>
        <v>4022.9999999999995</v>
      </c>
      <c r="H28">
        <f>H12+H11+H8+H7+H4</f>
        <v>680.7777777777778</v>
      </c>
      <c r="I28" s="25">
        <f>COUNTA(I4:I15)</f>
        <v>2</v>
      </c>
      <c r="J28" s="25">
        <f>COUNTA(J4:J15)</f>
        <v>2</v>
      </c>
      <c r="K28" s="25">
        <f>COUNTA(K4:K15)</f>
        <v>1</v>
      </c>
    </row>
    <row r="29" spans="1:11" ht="12">
      <c r="A29" s="24" t="s">
        <v>142</v>
      </c>
      <c r="B29" s="24"/>
      <c r="C29" s="29"/>
      <c r="G29" s="30"/>
      <c r="H29" s="30"/>
      <c r="I29" s="31"/>
      <c r="J29" s="32"/>
      <c r="K29" s="33"/>
    </row>
    <row r="30" spans="1:11" ht="12">
      <c r="A30" s="34" t="s">
        <v>143</v>
      </c>
      <c r="B30" s="35">
        <v>100</v>
      </c>
      <c r="C30" s="36">
        <f>C$17*$B30</f>
        <v>200</v>
      </c>
      <c r="F30" s="37">
        <f>F28+$C$19+$I$20+$J$21+$K$22</f>
        <v>30356</v>
      </c>
      <c r="G30" s="41">
        <f>G28+$C$19+$I$20+$J$21+$K$22</f>
        <v>10523</v>
      </c>
      <c r="H30" s="41">
        <f>H28+$C$19+$I$20+$J$21+$K$22</f>
        <v>7180.777777777777</v>
      </c>
      <c r="I30" s="31"/>
      <c r="J30" s="32"/>
      <c r="K30" s="33"/>
    </row>
    <row r="31" spans="1:11" ht="12">
      <c r="A31" s="34" t="s">
        <v>138</v>
      </c>
      <c r="B31" s="35">
        <v>100</v>
      </c>
      <c r="C31" s="29"/>
      <c r="F31" s="37"/>
      <c r="G31" s="41"/>
      <c r="H31" s="41"/>
      <c r="I31" s="36">
        <f>I$17*$B31</f>
        <v>200</v>
      </c>
      <c r="J31" s="32"/>
      <c r="K31" s="33"/>
    </row>
    <row r="32" spans="1:11" ht="12">
      <c r="A32" s="34" t="s">
        <v>46</v>
      </c>
      <c r="B32" s="35">
        <v>3000</v>
      </c>
      <c r="C32" s="29"/>
      <c r="F32" s="37"/>
      <c r="G32" s="41"/>
      <c r="H32" s="41"/>
      <c r="I32" s="31"/>
      <c r="J32" s="36">
        <f>J$17*$B32</f>
        <v>6000</v>
      </c>
      <c r="K32" s="33"/>
    </row>
    <row r="33" spans="1:11" ht="12">
      <c r="A33" s="34" t="s">
        <v>47</v>
      </c>
      <c r="B33" s="35">
        <v>100</v>
      </c>
      <c r="C33" s="29"/>
      <c r="F33" s="37"/>
      <c r="G33" s="41"/>
      <c r="H33" s="41"/>
      <c r="I33" s="31"/>
      <c r="J33" s="32"/>
      <c r="K33" s="36">
        <f>K$17*$B33</f>
        <v>100</v>
      </c>
    </row>
  </sheetData>
  <mergeCells count="12">
    <mergeCell ref="A25:B25"/>
    <mergeCell ref="A28:B28"/>
    <mergeCell ref="A29:B29"/>
    <mergeCell ref="F30:F33"/>
    <mergeCell ref="G30:G33"/>
    <mergeCell ref="H30:H33"/>
    <mergeCell ref="A17:B17"/>
    <mergeCell ref="A18:B18"/>
    <mergeCell ref="F19:F22"/>
    <mergeCell ref="G19:G22"/>
    <mergeCell ref="H19:H22"/>
    <mergeCell ref="A24:B24"/>
  </mergeCells>
  <printOptions/>
  <pageMargins left="0.7900000000000001" right="0.7900000000000001" top="0.98" bottom="0.98" header="0.51" footer="0.51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14" sqref="F14"/>
    </sheetView>
  </sheetViews>
  <sheetFormatPr defaultColWidth="13.7109375" defaultRowHeight="12.75"/>
  <cols>
    <col min="1" max="1" width="13.8515625" style="23" customWidth="1"/>
    <col min="2" max="16384" width="12.8515625" style="23" customWidth="1"/>
  </cols>
  <sheetData>
    <row r="1" spans="2:4" ht="12">
      <c r="B1" s="23" t="s">
        <v>48</v>
      </c>
      <c r="C1" s="23" t="s">
        <v>49</v>
      </c>
      <c r="D1" s="23" t="s">
        <v>50</v>
      </c>
    </row>
    <row r="2" spans="1:4" ht="12">
      <c r="A2" s="23" t="s">
        <v>51</v>
      </c>
      <c r="B2" s="23">
        <v>20</v>
      </c>
      <c r="C2" s="23">
        <v>9</v>
      </c>
      <c r="D2" s="23">
        <v>9</v>
      </c>
    </row>
    <row r="3" spans="1:4" ht="16.5">
      <c r="A3" s="23" t="s">
        <v>193</v>
      </c>
      <c r="B3" s="42">
        <v>10</v>
      </c>
      <c r="C3" s="23">
        <v>16</v>
      </c>
      <c r="D3" s="23">
        <v>16</v>
      </c>
    </row>
    <row r="4" spans="1:4" ht="12">
      <c r="A4" s="23" t="s">
        <v>52</v>
      </c>
      <c r="B4" s="23">
        <f>B3+B2*2</f>
        <v>50</v>
      </c>
      <c r="C4" s="23">
        <f>C3+C2*2</f>
        <v>34</v>
      </c>
      <c r="D4" s="23">
        <f>D3+D2*2</f>
        <v>34</v>
      </c>
    </row>
    <row r="5" spans="1:4" ht="12">
      <c r="A5" s="23" t="s">
        <v>53</v>
      </c>
      <c r="B5" s="23">
        <f>31*B2</f>
        <v>620</v>
      </c>
      <c r="C5" s="23">
        <f>15*C2</f>
        <v>135</v>
      </c>
      <c r="D5" s="23">
        <f>15*D2</f>
        <v>135</v>
      </c>
    </row>
    <row r="6" spans="1:4" ht="12">
      <c r="A6" s="23" t="s">
        <v>54</v>
      </c>
      <c r="B6" s="23">
        <f>1023*B2</f>
        <v>20460</v>
      </c>
      <c r="C6" s="23">
        <f>1023*C2</f>
        <v>9207</v>
      </c>
      <c r="D6" s="23">
        <f>1023*D2</f>
        <v>9207</v>
      </c>
    </row>
    <row r="7" spans="1:4" ht="12">
      <c r="A7" s="23" t="s">
        <v>55</v>
      </c>
      <c r="B7" s="23">
        <f>B5/2</f>
        <v>310</v>
      </c>
      <c r="C7" s="23">
        <f>C5/2</f>
        <v>67.5</v>
      </c>
      <c r="D7" s="23">
        <f>D5/2</f>
        <v>67.5</v>
      </c>
    </row>
    <row r="8" spans="1:4" ht="12">
      <c r="A8" s="23" t="s">
        <v>56</v>
      </c>
      <c r="B8" s="23">
        <v>144</v>
      </c>
      <c r="C8" s="23">
        <v>16</v>
      </c>
      <c r="D8" s="23">
        <v>16</v>
      </c>
    </row>
    <row r="9" spans="1:4" ht="12">
      <c r="A9" s="23" t="s">
        <v>57</v>
      </c>
      <c r="B9" s="23">
        <v>48</v>
      </c>
      <c r="C9" s="23">
        <v>4</v>
      </c>
      <c r="D9" s="23">
        <v>4</v>
      </c>
    </row>
    <row r="10" spans="1:4" ht="12">
      <c r="A10" s="23" t="s">
        <v>58</v>
      </c>
      <c r="B10" s="23">
        <v>8</v>
      </c>
      <c r="C10" s="23">
        <f>8/6</f>
        <v>1.3333333333333333</v>
      </c>
      <c r="D10" s="23">
        <f>8/54</f>
        <v>0.14814814814814814</v>
      </c>
    </row>
  </sheetData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"/>
  <sheetViews>
    <sheetView workbookViewId="0" topLeftCell="O28">
      <selection activeCell="F14" sqref="F14"/>
    </sheetView>
  </sheetViews>
  <sheetFormatPr defaultColWidth="13.7109375" defaultRowHeight="12.75"/>
  <cols>
    <col min="1" max="1" width="16.140625" style="0" customWidth="1"/>
    <col min="2" max="2" width="25.7109375" style="15" customWidth="1"/>
    <col min="3" max="3" width="25.7109375" style="0" customWidth="1"/>
    <col min="4" max="4" width="8.421875" style="0" customWidth="1"/>
    <col min="5" max="5" width="9.28125" style="56" customWidth="1"/>
    <col min="6" max="6" width="8.28125" style="56" customWidth="1"/>
    <col min="7" max="7" width="8.421875" style="56" customWidth="1"/>
    <col min="8" max="8" width="14.421875" style="56" customWidth="1"/>
    <col min="9" max="9" width="12.8515625" style="56" customWidth="1"/>
    <col min="10" max="10" width="16.140625" style="0" customWidth="1"/>
    <col min="11" max="11" width="25.7109375" style="136" customWidth="1"/>
    <col min="12" max="12" width="25.7109375" style="0" customWidth="1"/>
    <col min="13" max="13" width="7.7109375" style="0" customWidth="1"/>
    <col min="14" max="14" width="9.140625" style="56" customWidth="1"/>
    <col min="15" max="16" width="8.28125" style="56" customWidth="1"/>
    <col min="17" max="17" width="14.28125" style="56" customWidth="1"/>
    <col min="18" max="18" width="12.8515625" style="56" customWidth="1"/>
    <col min="19" max="19" width="27.7109375" style="56" customWidth="1"/>
    <col min="20" max="20" width="25.7109375" style="129" customWidth="1"/>
    <col min="21" max="21" width="25.7109375" style="56" customWidth="1"/>
    <col min="22" max="22" width="7.7109375" style="56" customWidth="1"/>
    <col min="23" max="23" width="9.140625" style="56" customWidth="1"/>
    <col min="24" max="25" width="8.28125" style="56" customWidth="1"/>
    <col min="26" max="26" width="14.28125" style="56" customWidth="1"/>
    <col min="27" max="27" width="12.8515625" style="56" customWidth="1"/>
    <col min="28" max="28" width="16.140625" style="0" customWidth="1"/>
    <col min="29" max="29" width="25.7109375" style="15" customWidth="1"/>
    <col min="30" max="30" width="25.7109375" style="0" customWidth="1"/>
    <col min="31" max="31" width="9.00390625" style="0" customWidth="1"/>
    <col min="32" max="32" width="9.140625" style="56" customWidth="1"/>
    <col min="33" max="34" width="8.28125" style="56" customWidth="1"/>
    <col min="35" max="35" width="14.28125" style="56" customWidth="1"/>
    <col min="36" max="36" width="12.8515625" style="56" customWidth="1"/>
  </cols>
  <sheetData>
    <row r="1" spans="1:36" s="50" customFormat="1" ht="22.5">
      <c r="A1" s="43"/>
      <c r="B1" s="44"/>
      <c r="C1" s="45" t="s">
        <v>59</v>
      </c>
      <c r="D1" s="45"/>
      <c r="E1" s="46"/>
      <c r="F1" s="46"/>
      <c r="G1" s="46"/>
      <c r="H1" s="47"/>
      <c r="I1" s="48"/>
      <c r="J1" s="43"/>
      <c r="K1" s="49"/>
      <c r="L1" s="45" t="s">
        <v>60</v>
      </c>
      <c r="M1" s="45"/>
      <c r="N1" s="46"/>
      <c r="O1" s="46"/>
      <c r="P1" s="46"/>
      <c r="Q1" s="47"/>
      <c r="R1" s="48"/>
      <c r="S1" s="43"/>
      <c r="T1" s="44"/>
      <c r="U1" s="45" t="s">
        <v>61</v>
      </c>
      <c r="V1" s="45"/>
      <c r="W1" s="46"/>
      <c r="X1" s="46"/>
      <c r="Y1" s="46"/>
      <c r="Z1" s="47"/>
      <c r="AA1" s="48"/>
      <c r="AB1" s="43"/>
      <c r="AC1" s="44"/>
      <c r="AD1" s="45" t="s">
        <v>62</v>
      </c>
      <c r="AE1" s="45"/>
      <c r="AF1" s="46"/>
      <c r="AG1" s="46"/>
      <c r="AH1" s="46"/>
      <c r="AI1" s="47"/>
      <c r="AJ1" s="48"/>
    </row>
    <row r="2" spans="1:35" ht="16.5">
      <c r="A2" s="51"/>
      <c r="B2" s="52"/>
      <c r="C2" s="53"/>
      <c r="D2" s="53"/>
      <c r="E2" s="54" t="s">
        <v>63</v>
      </c>
      <c r="F2" s="54" t="s">
        <v>64</v>
      </c>
      <c r="G2" s="54" t="s">
        <v>65</v>
      </c>
      <c r="H2" s="55" t="s">
        <v>66</v>
      </c>
      <c r="J2" s="51"/>
      <c r="K2" s="57"/>
      <c r="L2" s="53"/>
      <c r="M2" s="53"/>
      <c r="N2" s="54" t="s">
        <v>67</v>
      </c>
      <c r="O2" s="54" t="s">
        <v>68</v>
      </c>
      <c r="P2" s="54" t="s">
        <v>69</v>
      </c>
      <c r="Q2" s="55" t="s">
        <v>70</v>
      </c>
      <c r="S2" s="51"/>
      <c r="T2" s="52"/>
      <c r="U2" s="53"/>
      <c r="V2" s="53"/>
      <c r="W2" s="54" t="s">
        <v>67</v>
      </c>
      <c r="X2" s="54" t="s">
        <v>68</v>
      </c>
      <c r="Y2" s="54" t="s">
        <v>69</v>
      </c>
      <c r="Z2" s="55" t="s">
        <v>70</v>
      </c>
      <c r="AB2" s="51"/>
      <c r="AC2" s="52"/>
      <c r="AD2" s="53"/>
      <c r="AE2" s="53"/>
      <c r="AF2" s="54" t="s">
        <v>67</v>
      </c>
      <c r="AG2" s="54" t="s">
        <v>68</v>
      </c>
      <c r="AH2" s="54" t="s">
        <v>69</v>
      </c>
      <c r="AI2" s="55" t="s">
        <v>70</v>
      </c>
    </row>
    <row r="3" spans="1:35" ht="16.5">
      <c r="A3" s="51"/>
      <c r="B3" s="52"/>
      <c r="C3" s="53"/>
      <c r="D3" s="53"/>
      <c r="E3" s="58"/>
      <c r="F3" s="58"/>
      <c r="G3" s="58"/>
      <c r="H3" s="59"/>
      <c r="J3" s="51"/>
      <c r="K3" s="57"/>
      <c r="L3" s="53"/>
      <c r="M3" s="53"/>
      <c r="N3" s="58"/>
      <c r="O3" s="58"/>
      <c r="P3" s="58"/>
      <c r="Q3" s="59"/>
      <c r="S3" s="51"/>
      <c r="T3" s="52"/>
      <c r="U3" s="53"/>
      <c r="V3" s="53"/>
      <c r="W3" s="58"/>
      <c r="X3" s="58"/>
      <c r="Y3" s="58"/>
      <c r="Z3" s="59"/>
      <c r="AB3" s="51"/>
      <c r="AC3" s="52"/>
      <c r="AD3" s="53"/>
      <c r="AE3" s="53"/>
      <c r="AF3" s="58"/>
      <c r="AG3" s="58"/>
      <c r="AH3" s="58"/>
      <c r="AI3" s="59"/>
    </row>
    <row r="4" spans="1:35" ht="16.5">
      <c r="A4" s="60" t="s">
        <v>71</v>
      </c>
      <c r="B4" s="61"/>
      <c r="C4" s="62"/>
      <c r="D4" s="63">
        <v>62</v>
      </c>
      <c r="E4" s="64">
        <f>$D4*Parameters!B$10+Parameters!B$8+Parameters!B$9</f>
        <v>688</v>
      </c>
      <c r="F4" s="64">
        <f>$D4*Parameters!C$10+Parameters!C$8+Parameters!C$9</f>
        <v>102.66666666666666</v>
      </c>
      <c r="G4" s="64">
        <f>$D4*Parameters!D$10+Parameters!D$8+Parameters!D$9</f>
        <v>29.185185185185183</v>
      </c>
      <c r="H4" s="65"/>
      <c r="J4" s="60" t="s">
        <v>72</v>
      </c>
      <c r="K4" s="66"/>
      <c r="L4" s="62"/>
      <c r="M4" s="63">
        <v>62</v>
      </c>
      <c r="N4" s="64">
        <f>$M4*Parameters!B$10+Parameters!B$8+Parameters!B$9</f>
        <v>688</v>
      </c>
      <c r="O4" s="64">
        <f>$M4*Parameters!C$10+Parameters!C$8+Parameters!C$9</f>
        <v>102.66666666666666</v>
      </c>
      <c r="P4" s="64">
        <f>$M4*Parameters!D$10+Parameters!D$8+Parameters!D$9</f>
        <v>29.185185185185183</v>
      </c>
      <c r="Q4" s="65"/>
      <c r="S4" s="60" t="s">
        <v>73</v>
      </c>
      <c r="T4" s="67"/>
      <c r="U4" s="62"/>
      <c r="V4" s="63">
        <v>62</v>
      </c>
      <c r="W4" s="64">
        <f>$V4*Parameters!$B$10+Parameters!$B$8+Parameters!$B$9</f>
        <v>688</v>
      </c>
      <c r="X4" s="64">
        <f>$V4*Parameters!$C$10+Parameters!$C$8+Parameters!$C$9</f>
        <v>102.66666666666666</v>
      </c>
      <c r="Y4" s="64">
        <f>$V4*Parameters!$D$10+Parameters!$D$8+Parameters!$D$9</f>
        <v>29.185185185185183</v>
      </c>
      <c r="Z4" s="65"/>
      <c r="AB4" s="60" t="s">
        <v>73</v>
      </c>
      <c r="AC4" s="67"/>
      <c r="AD4" s="62"/>
      <c r="AE4" s="63">
        <v>62</v>
      </c>
      <c r="AF4" s="64">
        <f>$AE4*Parameters!B$10+Parameters!B$8+Parameters!B$9</f>
        <v>688</v>
      </c>
      <c r="AG4" s="64">
        <f>$AE4*Parameters!C$10+Parameters!C$8+Parameters!C$9</f>
        <v>102.66666666666666</v>
      </c>
      <c r="AH4" s="64">
        <f>$AE4*Parameters!D$10+Parameters!D$8+Parameters!D$9</f>
        <v>29.185185185185183</v>
      </c>
      <c r="AI4" s="65"/>
    </row>
    <row r="5" spans="1:35" ht="16.5">
      <c r="A5" s="60"/>
      <c r="B5" s="68">
        <v>1</v>
      </c>
      <c r="C5" s="62"/>
      <c r="D5" s="63"/>
      <c r="E5" s="64"/>
      <c r="F5" s="64"/>
      <c r="G5" s="64"/>
      <c r="H5" s="65">
        <f>$AD$27</f>
        <v>1000</v>
      </c>
      <c r="J5" s="60"/>
      <c r="K5" s="69">
        <v>1</v>
      </c>
      <c r="L5" s="62"/>
      <c r="M5" s="63"/>
      <c r="N5" s="64"/>
      <c r="O5" s="64"/>
      <c r="P5" s="64"/>
      <c r="Q5" s="65">
        <f>$AD$27</f>
        <v>1000</v>
      </c>
      <c r="S5" s="60"/>
      <c r="T5" s="70">
        <v>1</v>
      </c>
      <c r="U5" s="62"/>
      <c r="V5" s="63"/>
      <c r="W5" s="64"/>
      <c r="X5" s="64"/>
      <c r="Y5" s="64"/>
      <c r="Z5" s="65">
        <f>$AD$27</f>
        <v>1000</v>
      </c>
      <c r="AB5" s="60"/>
      <c r="AC5" s="70">
        <v>1</v>
      </c>
      <c r="AD5" s="62"/>
      <c r="AE5" s="63"/>
      <c r="AF5" s="64"/>
      <c r="AG5" s="64"/>
      <c r="AH5" s="64"/>
      <c r="AI5" s="65">
        <f>$AD$27</f>
        <v>1000</v>
      </c>
    </row>
    <row r="6" spans="1:35" ht="16.5">
      <c r="A6" s="60" t="s">
        <v>74</v>
      </c>
      <c r="B6" s="71"/>
      <c r="C6" s="62"/>
      <c r="D6" s="63">
        <v>135</v>
      </c>
      <c r="E6" s="64">
        <f>$D6*Parameters!B$10+Parameters!B$8+Parameters!B$9</f>
        <v>1272</v>
      </c>
      <c r="F6" s="64">
        <f>$D6*Parameters!C$10+Parameters!C$8+Parameters!C$9</f>
        <v>200</v>
      </c>
      <c r="G6" s="64">
        <f>$D6*Parameters!D$10+Parameters!D$8+Parameters!D$9</f>
        <v>40</v>
      </c>
      <c r="H6" s="65"/>
      <c r="J6" s="60" t="s">
        <v>74</v>
      </c>
      <c r="K6" s="72"/>
      <c r="L6" s="62"/>
      <c r="M6" s="63">
        <v>135</v>
      </c>
      <c r="N6" s="64">
        <f>$M6*Parameters!B$10+Parameters!B$8+Parameters!B$9</f>
        <v>1272</v>
      </c>
      <c r="O6" s="64">
        <f>$M6*Parameters!C$10+Parameters!C$8+Parameters!C$9</f>
        <v>200</v>
      </c>
      <c r="P6" s="64">
        <f>$M6*Parameters!D$10+Parameters!D$8+Parameters!D$9</f>
        <v>40</v>
      </c>
      <c r="Q6" s="65"/>
      <c r="S6" s="60" t="s">
        <v>74</v>
      </c>
      <c r="T6" s="73"/>
      <c r="U6" s="62"/>
      <c r="V6" s="63">
        <v>135</v>
      </c>
      <c r="W6" s="64">
        <f>$V6*Parameters!$B$10+Parameters!$B$8+Parameters!$B$9</f>
        <v>1272</v>
      </c>
      <c r="X6" s="64">
        <f>$V6*Parameters!$C$10+Parameters!$C$8+Parameters!$C$9</f>
        <v>200</v>
      </c>
      <c r="Y6" s="64">
        <f>$V6*Parameters!$D$10+Parameters!$D$8+Parameters!$D$9</f>
        <v>40</v>
      </c>
      <c r="Z6" s="65"/>
      <c r="AB6" s="60" t="s">
        <v>74</v>
      </c>
      <c r="AC6" s="73"/>
      <c r="AD6" s="62"/>
      <c r="AE6" s="63">
        <v>135</v>
      </c>
      <c r="AF6" s="64">
        <f>$AE6*Parameters!B$10+Parameters!B$8+Parameters!B$9</f>
        <v>1272</v>
      </c>
      <c r="AG6" s="64">
        <f>$AE6*Parameters!C$10+Parameters!C$8+Parameters!C$9</f>
        <v>200</v>
      </c>
      <c r="AH6" s="64">
        <f>$AE6*Parameters!D$10+Parameters!D$8+Parameters!D$9</f>
        <v>40</v>
      </c>
      <c r="AI6" s="65"/>
    </row>
    <row r="7" spans="1:35" ht="16.5">
      <c r="A7" s="60"/>
      <c r="B7" s="68"/>
      <c r="C7" s="62"/>
      <c r="D7" s="63"/>
      <c r="E7" s="64"/>
      <c r="F7" s="64"/>
      <c r="G7" s="64"/>
      <c r="H7" s="65">
        <f>$AD$27</f>
        <v>1000</v>
      </c>
      <c r="J7" s="60"/>
      <c r="K7" s="69"/>
      <c r="L7" s="62"/>
      <c r="M7" s="63"/>
      <c r="N7" s="64"/>
      <c r="O7" s="64"/>
      <c r="P7" s="64"/>
      <c r="Q7" s="65">
        <f>$AD$27</f>
        <v>1000</v>
      </c>
      <c r="S7" s="74"/>
      <c r="T7" s="75"/>
      <c r="U7" s="76"/>
      <c r="V7" s="77"/>
      <c r="W7" s="78"/>
      <c r="X7" s="78"/>
      <c r="Y7" s="78"/>
      <c r="Z7" s="79">
        <f>$AD$27</f>
        <v>1000</v>
      </c>
      <c r="AB7" s="51"/>
      <c r="AC7" s="52"/>
      <c r="AD7" s="53"/>
      <c r="AE7" s="80"/>
      <c r="AF7" s="81"/>
      <c r="AG7" s="81"/>
      <c r="AH7" s="81"/>
      <c r="AI7" s="82">
        <f>$AD$27</f>
        <v>1000</v>
      </c>
    </row>
    <row r="8" spans="1:35" ht="16.5">
      <c r="A8" s="60" t="s">
        <v>75</v>
      </c>
      <c r="B8" s="61"/>
      <c r="C8" s="62"/>
      <c r="D8" s="63">
        <f>AUTHREQ_B</f>
        <v>34</v>
      </c>
      <c r="E8" s="64">
        <f>$D8*Parameters!B$10+Parameters!B$8+Parameters!B$9</f>
        <v>464</v>
      </c>
      <c r="F8" s="64">
        <f>$D8*Parameters!C$10+Parameters!C$8+Parameters!C$9</f>
        <v>65.33333333333333</v>
      </c>
      <c r="G8" s="64">
        <f>$D8*Parameters!D$10+Parameters!D$8+Parameters!D$9</f>
        <v>25.037037037037038</v>
      </c>
      <c r="H8" s="65"/>
      <c r="J8" s="60" t="s">
        <v>76</v>
      </c>
      <c r="K8" s="66"/>
      <c r="L8" s="62"/>
      <c r="M8" s="63">
        <f>ASSOCREQ_B</f>
        <v>83</v>
      </c>
      <c r="N8" s="64">
        <f>$M8*Parameters!B$10+Parameters!B$8+Parameters!B$9</f>
        <v>856</v>
      </c>
      <c r="O8" s="64">
        <f>$M8*Parameters!C$10+Parameters!C$8+Parameters!C$9</f>
        <v>130.66666666666666</v>
      </c>
      <c r="P8" s="64">
        <f>$M8*Parameters!D$10+Parameters!D$8+Parameters!D$9</f>
        <v>32.2962962962963</v>
      </c>
      <c r="Q8" s="65"/>
      <c r="S8" s="83" t="s">
        <v>77</v>
      </c>
      <c r="T8" s="84">
        <v>1.5</v>
      </c>
      <c r="U8" s="85"/>
      <c r="V8" s="86">
        <v>600</v>
      </c>
      <c r="W8" s="87">
        <f>$V8*Parameters!$B$10+Parameters!$B$8+Parameters!$B$9</f>
        <v>4992</v>
      </c>
      <c r="X8" s="87">
        <f>$V8*Parameters!$C$10+Parameters!$C$8+Parameters!$C$9</f>
        <v>820</v>
      </c>
      <c r="Y8" s="87">
        <f>$V8*Parameters!$D$10+Parameters!$D$8+Parameters!$D$9</f>
        <v>108.88888888888889</v>
      </c>
      <c r="Z8" s="88"/>
      <c r="AB8" s="89" t="s">
        <v>78</v>
      </c>
      <c r="AC8" s="90"/>
      <c r="AD8" s="91"/>
      <c r="AE8" s="92">
        <f>YAHALOM1_B</f>
        <v>488</v>
      </c>
      <c r="AF8" s="93">
        <f>$AE8*Parameters!B$10+Parameters!B$8+Parameters!B$9</f>
        <v>4096</v>
      </c>
      <c r="AG8" s="93">
        <f>$AE8*Parameters!C$10+Parameters!C$8+Parameters!C$9</f>
        <v>670.6666666666666</v>
      </c>
      <c r="AH8" s="93">
        <f>$AE8*Parameters!D$10+Parameters!D$8+Parameters!D$9</f>
        <v>92.29629629629629</v>
      </c>
      <c r="AI8" s="94"/>
    </row>
    <row r="9" spans="1:35" ht="16.5">
      <c r="A9" s="60"/>
      <c r="B9" s="68">
        <v>2</v>
      </c>
      <c r="C9" s="62"/>
      <c r="D9" s="63"/>
      <c r="E9" s="64"/>
      <c r="F9" s="64"/>
      <c r="G9" s="64"/>
      <c r="H9" s="65">
        <f>$AD$27</f>
        <v>1000</v>
      </c>
      <c r="J9" s="60"/>
      <c r="K9" s="69">
        <v>2</v>
      </c>
      <c r="L9" s="62"/>
      <c r="M9" s="63"/>
      <c r="N9" s="64"/>
      <c r="O9" s="64"/>
      <c r="P9" s="64"/>
      <c r="Q9" s="65">
        <f>$AD$27</f>
        <v>1000</v>
      </c>
      <c r="S9" s="51"/>
      <c r="T9" s="52"/>
      <c r="U9" s="53"/>
      <c r="V9" s="80"/>
      <c r="W9" s="81"/>
      <c r="X9" s="81"/>
      <c r="Y9" s="81"/>
      <c r="Z9" s="82">
        <f>$AD$27</f>
        <v>1000</v>
      </c>
      <c r="AB9" s="89"/>
      <c r="AC9" s="95"/>
      <c r="AD9" s="91"/>
      <c r="AE9" s="92"/>
      <c r="AF9" s="93"/>
      <c r="AG9" s="93"/>
      <c r="AH9" s="93"/>
      <c r="AI9" s="94">
        <f>$AD$27</f>
        <v>1000</v>
      </c>
    </row>
    <row r="10" spans="1:35" ht="16.5">
      <c r="A10" s="60" t="s">
        <v>79</v>
      </c>
      <c r="B10" s="71"/>
      <c r="C10" s="62"/>
      <c r="D10" s="63">
        <f>AUTHREP_B</f>
        <v>34</v>
      </c>
      <c r="E10" s="64">
        <f>$D10*Parameters!B$10+Parameters!B$8+Parameters!B$9</f>
        <v>464</v>
      </c>
      <c r="F10" s="64">
        <f>$D10*Parameters!C$10+Parameters!C$8+Parameters!C$9</f>
        <v>65.33333333333333</v>
      </c>
      <c r="G10" s="64">
        <f>$D10*Parameters!D$10+Parameters!D$8+Parameters!D$9</f>
        <v>25.037037037037038</v>
      </c>
      <c r="H10" s="65"/>
      <c r="J10" s="60" t="s">
        <v>80</v>
      </c>
      <c r="K10" s="72"/>
      <c r="L10" s="62"/>
      <c r="M10" s="63">
        <f>ASSOCRESP_B</f>
        <v>50</v>
      </c>
      <c r="N10" s="64">
        <f>$M10*Parameters!B$10+Parameters!B$8+Parameters!B$9</f>
        <v>592</v>
      </c>
      <c r="O10" s="64">
        <f>$M10*Parameters!C$10+Parameters!C$8+Parameters!C$9</f>
        <v>86.66666666666666</v>
      </c>
      <c r="P10" s="64">
        <f>$M10*Parameters!D$10+Parameters!D$8+Parameters!D$9</f>
        <v>27.407407407407405</v>
      </c>
      <c r="Q10" s="65"/>
      <c r="S10" s="89" t="s">
        <v>91</v>
      </c>
      <c r="T10" s="95"/>
      <c r="U10" s="96"/>
      <c r="V10" s="92"/>
      <c r="W10" s="93"/>
      <c r="X10" s="93"/>
      <c r="Y10" s="93"/>
      <c r="Z10" s="94">
        <f>$AD$28</f>
        <v>3000</v>
      </c>
      <c r="AB10" s="89"/>
      <c r="AC10" s="95"/>
      <c r="AD10" s="97"/>
      <c r="AE10" s="92"/>
      <c r="AF10" s="93"/>
      <c r="AG10" s="93"/>
      <c r="AH10" s="93"/>
      <c r="AI10" s="94">
        <f>$AD$28</f>
        <v>3000</v>
      </c>
    </row>
    <row r="11" spans="1:35" ht="16.5">
      <c r="A11" s="60"/>
      <c r="B11" s="68"/>
      <c r="C11" s="62"/>
      <c r="D11" s="63"/>
      <c r="E11" s="64"/>
      <c r="F11" s="64"/>
      <c r="G11" s="64"/>
      <c r="H11" s="65">
        <f>$AD$27</f>
        <v>1000</v>
      </c>
      <c r="J11" s="51"/>
      <c r="K11" s="57"/>
      <c r="L11" s="53"/>
      <c r="M11" s="80"/>
      <c r="N11" s="81"/>
      <c r="O11" s="81"/>
      <c r="P11" s="81"/>
      <c r="Q11" s="82">
        <f>$AD$27</f>
        <v>1000</v>
      </c>
      <c r="S11" s="89"/>
      <c r="T11" s="95"/>
      <c r="U11" s="91"/>
      <c r="V11" s="92"/>
      <c r="W11" s="93"/>
      <c r="X11" s="93"/>
      <c r="Y11" s="93"/>
      <c r="Z11" s="94">
        <f>$AD$27</f>
        <v>1000</v>
      </c>
      <c r="AB11" s="89"/>
      <c r="AC11" s="95">
        <v>2</v>
      </c>
      <c r="AD11" s="91"/>
      <c r="AE11" s="92"/>
      <c r="AF11" s="93"/>
      <c r="AG11" s="93"/>
      <c r="AH11" s="93"/>
      <c r="AI11" s="94">
        <f>$AD$27</f>
        <v>1000</v>
      </c>
    </row>
    <row r="12" spans="1:35" ht="16.5">
      <c r="A12" s="60" t="s">
        <v>81</v>
      </c>
      <c r="B12" s="61"/>
      <c r="C12" s="62"/>
      <c r="D12" s="63">
        <f>ASSOCREQ_B</f>
        <v>83</v>
      </c>
      <c r="E12" s="64">
        <f>$D12*Parameters!B$10+Parameters!B$8+Parameters!B$9</f>
        <v>856</v>
      </c>
      <c r="F12" s="64">
        <f>$D12*Parameters!C$10+Parameters!C$8+Parameters!C$9</f>
        <v>130.66666666666666</v>
      </c>
      <c r="G12" s="64">
        <f>$D12*Parameters!D$10+Parameters!D$8+Parameters!D$9</f>
        <v>32.2962962962963</v>
      </c>
      <c r="H12" s="65"/>
      <c r="J12" s="89" t="s">
        <v>91</v>
      </c>
      <c r="K12" s="98"/>
      <c r="L12" s="96"/>
      <c r="M12" s="92"/>
      <c r="N12" s="93"/>
      <c r="O12" s="93"/>
      <c r="P12" s="93"/>
      <c r="Q12" s="94">
        <f>$AD$28</f>
        <v>3000</v>
      </c>
      <c r="S12" s="89"/>
      <c r="T12" s="99"/>
      <c r="U12" s="91"/>
      <c r="V12" s="92">
        <f>EAPGPSK1_B</f>
        <v>336</v>
      </c>
      <c r="W12" s="93">
        <f>$V12*Parameters!$B$10+Parameters!$B$8+Parameters!$B$9</f>
        <v>2880</v>
      </c>
      <c r="X12" s="93">
        <f>$V12*Parameters!$C$10+Parameters!$C$8+Parameters!$C$9</f>
        <v>468</v>
      </c>
      <c r="Y12" s="93">
        <f>$V12*Parameters!$D$10+Parameters!$D$8+Parameters!$D$9</f>
        <v>69.77777777777777</v>
      </c>
      <c r="Z12" s="94"/>
      <c r="AB12" s="89" t="s">
        <v>82</v>
      </c>
      <c r="AC12" s="95"/>
      <c r="AD12" s="96"/>
      <c r="AE12" s="92"/>
      <c r="AF12" s="93"/>
      <c r="AG12" s="93"/>
      <c r="AH12" s="93"/>
      <c r="AI12" s="94">
        <f>$AD$28</f>
        <v>3000</v>
      </c>
    </row>
    <row r="13" spans="1:35" ht="16.5">
      <c r="A13" s="60"/>
      <c r="B13" s="68">
        <v>3</v>
      </c>
      <c r="C13" s="62"/>
      <c r="D13" s="63"/>
      <c r="E13" s="64"/>
      <c r="F13" s="64"/>
      <c r="G13" s="64"/>
      <c r="H13" s="65">
        <f>$AD$27</f>
        <v>1000</v>
      </c>
      <c r="J13" s="89"/>
      <c r="K13" s="98"/>
      <c r="L13" s="91"/>
      <c r="M13" s="92"/>
      <c r="N13" s="93"/>
      <c r="O13" s="93"/>
      <c r="P13" s="93"/>
      <c r="Q13" s="94">
        <f>$AD$27</f>
        <v>1000</v>
      </c>
      <c r="S13" s="89"/>
      <c r="T13" s="95">
        <v>2.5</v>
      </c>
      <c r="U13" s="91"/>
      <c r="V13" s="92"/>
      <c r="W13" s="93"/>
      <c r="X13" s="93"/>
      <c r="Y13" s="93"/>
      <c r="Z13" s="94">
        <f>$AD$27</f>
        <v>1000</v>
      </c>
      <c r="AB13" s="89"/>
      <c r="AC13" s="95"/>
      <c r="AD13" s="91"/>
      <c r="AE13" s="92"/>
      <c r="AF13" s="93"/>
      <c r="AG13" s="93"/>
      <c r="AH13" s="93"/>
      <c r="AI13" s="94">
        <f>$AD$27</f>
        <v>1000</v>
      </c>
    </row>
    <row r="14" spans="1:35" ht="16.5">
      <c r="A14" s="60" t="s">
        <v>83</v>
      </c>
      <c r="B14" s="71"/>
      <c r="C14" s="62"/>
      <c r="D14" s="63">
        <f>ASSOCRESP_B</f>
        <v>50</v>
      </c>
      <c r="E14" s="64">
        <f>$D14*Parameters!B$10+Parameters!B$8+Parameters!B$9</f>
        <v>592</v>
      </c>
      <c r="F14" s="64">
        <f>$D14*Parameters!C$10+Parameters!C$8+Parameters!C$9</f>
        <v>86.66666666666666</v>
      </c>
      <c r="G14" s="64">
        <f>$D14*Parameters!D$10+Parameters!D$8+Parameters!D$9</f>
        <v>27.407407407407405</v>
      </c>
      <c r="H14" s="65"/>
      <c r="J14" s="89"/>
      <c r="K14" s="100"/>
      <c r="L14" s="91"/>
      <c r="M14" s="92">
        <f>EAPGPSK1_B</f>
        <v>336</v>
      </c>
      <c r="N14" s="93">
        <f>$M14*Parameters!B$10+Parameters!B$8+Parameters!B$9</f>
        <v>2880</v>
      </c>
      <c r="O14" s="93">
        <f>$M14*Parameters!C$10+Parameters!C$8+Parameters!C$9</f>
        <v>468</v>
      </c>
      <c r="P14" s="93">
        <f>$M14*Parameters!D$10+Parameters!D$8+Parameters!D$9</f>
        <v>69.77777777777777</v>
      </c>
      <c r="Q14" s="94"/>
      <c r="S14" s="89" t="s">
        <v>92</v>
      </c>
      <c r="T14" s="90"/>
      <c r="U14" s="91"/>
      <c r="V14" s="92">
        <f>EAPGPSK2_B</f>
        <v>650</v>
      </c>
      <c r="W14" s="93">
        <f>$V14*Parameters!$B$10+Parameters!$B$8+Parameters!$B$9</f>
        <v>5392</v>
      </c>
      <c r="X14" s="93">
        <f>$V14*Parameters!$C$10+Parameters!$C$8+Parameters!$C$9</f>
        <v>886.6666666666666</v>
      </c>
      <c r="Y14" s="93">
        <f>$V14*Parameters!$D$10+Parameters!$D$8+Parameters!$D$9</f>
        <v>116.29629629629629</v>
      </c>
      <c r="Z14" s="94"/>
      <c r="AB14" s="89"/>
      <c r="AC14" s="99"/>
      <c r="AD14" s="91"/>
      <c r="AE14" s="92">
        <f>YAHALOM2_B</f>
        <v>1480</v>
      </c>
      <c r="AF14" s="93">
        <f>$AE14*Parameters!B$10+Parameters!B$8+Parameters!B$9</f>
        <v>12032</v>
      </c>
      <c r="AG14" s="93">
        <f>$AE14*Parameters!C$10+Parameters!C$8+Parameters!C$9</f>
        <v>1993.3333333333333</v>
      </c>
      <c r="AH14" s="93">
        <f>$AE14*Parameters!D$10+Parameters!D$8+Parameters!D$9</f>
        <v>239.25925925925924</v>
      </c>
      <c r="AI14" s="94"/>
    </row>
    <row r="15" spans="1:35" ht="16.5">
      <c r="A15" s="51"/>
      <c r="B15" s="101"/>
      <c r="C15" s="53"/>
      <c r="D15" s="80"/>
      <c r="E15" s="81"/>
      <c r="F15" s="81"/>
      <c r="G15" s="81"/>
      <c r="H15" s="82">
        <f>$AD$27</f>
        <v>1000</v>
      </c>
      <c r="J15" s="89"/>
      <c r="K15" s="98">
        <v>3</v>
      </c>
      <c r="L15" s="91"/>
      <c r="M15" s="92"/>
      <c r="N15" s="93"/>
      <c r="O15" s="93"/>
      <c r="P15" s="93"/>
      <c r="Q15" s="94">
        <f>$AD$27</f>
        <v>1000</v>
      </c>
      <c r="S15" s="89"/>
      <c r="T15" s="95"/>
      <c r="U15" s="91"/>
      <c r="V15" s="92"/>
      <c r="W15" s="93"/>
      <c r="X15" s="93"/>
      <c r="Y15" s="93"/>
      <c r="Z15" s="94">
        <f>$AD$27</f>
        <v>1000</v>
      </c>
      <c r="AB15" s="89"/>
      <c r="AC15" s="95"/>
      <c r="AD15" s="91"/>
      <c r="AE15" s="92"/>
      <c r="AF15" s="93"/>
      <c r="AG15" s="93"/>
      <c r="AH15" s="93"/>
      <c r="AI15" s="94">
        <f>$AD$27</f>
        <v>1000</v>
      </c>
    </row>
    <row r="16" spans="1:35" ht="16.5">
      <c r="A16" s="89" t="s">
        <v>1</v>
      </c>
      <c r="B16" s="102"/>
      <c r="C16" s="91"/>
      <c r="D16" s="92">
        <f>EAPOLSTART_B</f>
        <v>41</v>
      </c>
      <c r="E16" s="93">
        <f>$D16*Parameters!B$10+Parameters!B$8+Parameters!B$9</f>
        <v>520</v>
      </c>
      <c r="F16" s="93">
        <f>$D16*Parameters!C$10+Parameters!C$8+Parameters!C$9</f>
        <v>74.66666666666666</v>
      </c>
      <c r="G16" s="93">
        <f>$D16*Parameters!D$10+Parameters!D$8+Parameters!D$9</f>
        <v>26.074074074074073</v>
      </c>
      <c r="H16" s="94"/>
      <c r="J16" s="89" t="s">
        <v>92</v>
      </c>
      <c r="K16" s="103"/>
      <c r="L16" s="91"/>
      <c r="M16" s="92">
        <f>EAPGPSK2_B</f>
        <v>650</v>
      </c>
      <c r="N16" s="93">
        <f>$M16*Parameters!B$10+Parameters!B$8+Parameters!B$9</f>
        <v>5392</v>
      </c>
      <c r="O16" s="93">
        <f>$M16*Parameters!C$10+Parameters!C$8+Parameters!C$9</f>
        <v>886.6666666666666</v>
      </c>
      <c r="P16" s="93">
        <f>$M16*Parameters!D$10+Parameters!D$8+Parameters!D$9</f>
        <v>116.29629629629629</v>
      </c>
      <c r="Q16" s="94"/>
      <c r="S16" s="89"/>
      <c r="T16" s="95"/>
      <c r="U16" s="97"/>
      <c r="V16" s="92"/>
      <c r="W16" s="93"/>
      <c r="X16" s="93"/>
      <c r="Y16" s="93"/>
      <c r="Z16" s="94">
        <f>$AD$28</f>
        <v>3000</v>
      </c>
      <c r="AB16" s="89" t="s">
        <v>2</v>
      </c>
      <c r="AC16" s="90">
        <v>2.5</v>
      </c>
      <c r="AD16" s="91"/>
      <c r="AE16" s="92">
        <f>YAHALOM3_B</f>
        <v>852</v>
      </c>
      <c r="AF16" s="93">
        <f>$AE16*Parameters!B$10+Parameters!B$8+Parameters!B$9</f>
        <v>7008</v>
      </c>
      <c r="AG16" s="93">
        <f>$AE16*Parameters!C$10+Parameters!C$8+Parameters!C$9</f>
        <v>1156</v>
      </c>
      <c r="AH16" s="93">
        <f>$AE16*Parameters!D$10+Parameters!D$8+Parameters!D$9</f>
        <v>146.22222222222223</v>
      </c>
      <c r="AI16" s="94"/>
    </row>
    <row r="17" spans="1:35" ht="16.5">
      <c r="A17" s="89"/>
      <c r="B17" s="104">
        <v>4</v>
      </c>
      <c r="C17" s="91"/>
      <c r="D17" s="92"/>
      <c r="E17" s="93"/>
      <c r="F17" s="93"/>
      <c r="G17" s="93"/>
      <c r="H17" s="94">
        <f>$AD$27</f>
        <v>1000</v>
      </c>
      <c r="J17" s="89"/>
      <c r="K17" s="98"/>
      <c r="L17" s="91"/>
      <c r="M17" s="92"/>
      <c r="N17" s="93"/>
      <c r="O17" s="93"/>
      <c r="P17" s="93"/>
      <c r="Q17" s="94">
        <f>$AD$27</f>
        <v>1000</v>
      </c>
      <c r="S17" s="89"/>
      <c r="T17" s="95"/>
      <c r="U17" s="91"/>
      <c r="V17" s="92"/>
      <c r="W17" s="93"/>
      <c r="X17" s="93"/>
      <c r="Y17" s="93"/>
      <c r="Z17" s="94">
        <f>$AD$27</f>
        <v>1000</v>
      </c>
      <c r="AB17" s="51"/>
      <c r="AC17" s="52"/>
      <c r="AD17" s="53"/>
      <c r="AE17" s="80"/>
      <c r="AF17" s="81"/>
      <c r="AG17" s="81"/>
      <c r="AH17" s="81"/>
      <c r="AI17" s="82">
        <f>$AD$27</f>
        <v>1000</v>
      </c>
    </row>
    <row r="18" spans="1:35" ht="16.5">
      <c r="A18" s="89" t="s">
        <v>3</v>
      </c>
      <c r="B18" s="105"/>
      <c r="C18" s="91"/>
      <c r="D18" s="92">
        <f>EAPREQID_B</f>
        <v>50</v>
      </c>
      <c r="E18" s="93">
        <f>$D18*Parameters!B$10+Parameters!B$8+Parameters!B$9</f>
        <v>592</v>
      </c>
      <c r="F18" s="93">
        <f>$D18*Parameters!C$10+Parameters!C$8+Parameters!C$9</f>
        <v>86.66666666666666</v>
      </c>
      <c r="G18" s="93">
        <f>$D18*Parameters!D$10+Parameters!D$8+Parameters!D$9</f>
        <v>27.407407407407405</v>
      </c>
      <c r="H18" s="94"/>
      <c r="J18" s="89"/>
      <c r="K18" s="98"/>
      <c r="L18" s="97"/>
      <c r="M18" s="92"/>
      <c r="N18" s="93"/>
      <c r="O18" s="93"/>
      <c r="P18" s="93"/>
      <c r="Q18" s="94">
        <f>$AD$28</f>
        <v>3000</v>
      </c>
      <c r="S18" s="89" t="s">
        <v>93</v>
      </c>
      <c r="T18" s="95"/>
      <c r="U18" s="96"/>
      <c r="V18" s="92"/>
      <c r="W18" s="93"/>
      <c r="X18" s="93"/>
      <c r="Y18" s="93"/>
      <c r="Z18" s="94">
        <f>$AD$28</f>
        <v>3000</v>
      </c>
      <c r="AB18" s="51"/>
      <c r="AC18" s="52"/>
      <c r="AD18" s="53"/>
      <c r="AE18" s="53"/>
      <c r="AF18" s="81"/>
      <c r="AG18" s="81"/>
      <c r="AH18" s="81"/>
      <c r="AI18" s="82"/>
    </row>
    <row r="19" spans="1:35" ht="16.5">
      <c r="A19" s="89"/>
      <c r="B19" s="104"/>
      <c r="C19" s="91"/>
      <c r="D19" s="92"/>
      <c r="E19" s="93"/>
      <c r="F19" s="93"/>
      <c r="G19" s="93"/>
      <c r="H19" s="94">
        <f>$AD$27</f>
        <v>1000</v>
      </c>
      <c r="J19" s="89"/>
      <c r="K19" s="98"/>
      <c r="L19" s="91"/>
      <c r="M19" s="92"/>
      <c r="N19" s="93"/>
      <c r="O19" s="93"/>
      <c r="P19" s="93"/>
      <c r="Q19" s="94">
        <f>$AD$27</f>
        <v>1000</v>
      </c>
      <c r="S19" s="89"/>
      <c r="T19" s="95"/>
      <c r="U19" s="91"/>
      <c r="V19" s="92"/>
      <c r="W19" s="93"/>
      <c r="X19" s="93"/>
      <c r="Y19" s="93"/>
      <c r="Z19" s="94">
        <f>$AD$27</f>
        <v>1000</v>
      </c>
      <c r="AB19" s="51"/>
      <c r="AC19" s="52"/>
      <c r="AD19" s="53"/>
      <c r="AE19" s="53"/>
      <c r="AF19" s="106">
        <f>SUM(AF4:AF18)</f>
        <v>25096</v>
      </c>
      <c r="AG19" s="106">
        <f>SUM(AG4:AG18)</f>
        <v>4122.666666666666</v>
      </c>
      <c r="AH19" s="106">
        <f>SUM(AH4:AH18)</f>
        <v>546.9629629629629</v>
      </c>
      <c r="AI19" s="107">
        <f>SUM(AI4:AI18)</f>
        <v>13000</v>
      </c>
    </row>
    <row r="20" spans="1:35" ht="16.5">
      <c r="A20" s="89" t="s">
        <v>4</v>
      </c>
      <c r="B20" s="102"/>
      <c r="C20" s="91"/>
      <c r="D20" s="92">
        <f>EAPRESPID_B</f>
        <v>51</v>
      </c>
      <c r="E20" s="93">
        <f>$D20*Parameters!B$10+Parameters!B$8+Parameters!B$9</f>
        <v>600</v>
      </c>
      <c r="F20" s="93">
        <f>$D20*Parameters!C$10+Parameters!C$8+Parameters!C$9</f>
        <v>88</v>
      </c>
      <c r="G20" s="93">
        <f>$D20*Parameters!D$10+Parameters!D$8+Parameters!D$9</f>
        <v>27.555555555555557</v>
      </c>
      <c r="H20" s="94"/>
      <c r="J20" s="89" t="s">
        <v>5</v>
      </c>
      <c r="K20" s="98"/>
      <c r="L20" s="96"/>
      <c r="M20" s="92"/>
      <c r="N20" s="93"/>
      <c r="O20" s="93"/>
      <c r="P20" s="93"/>
      <c r="Q20" s="94">
        <f>$AD$28</f>
        <v>3000</v>
      </c>
      <c r="S20" s="89"/>
      <c r="T20" s="99"/>
      <c r="U20" s="91"/>
      <c r="V20" s="92">
        <f>EAPGPSK3_B</f>
        <v>386</v>
      </c>
      <c r="W20" s="93">
        <f>$V20*Parameters!$B$10+Parameters!$B$8+Parameters!$B$9</f>
        <v>3280</v>
      </c>
      <c r="X20" s="93">
        <f>$V20*Parameters!$C$10+Parameters!$C$8+Parameters!$C$9</f>
        <v>534.6666666666666</v>
      </c>
      <c r="Y20" s="93">
        <f>$V20*Parameters!$D$10+Parameters!$D$8+Parameters!$D$9</f>
        <v>77.18518518518519</v>
      </c>
      <c r="Z20" s="94"/>
      <c r="AB20" s="51"/>
      <c r="AC20" s="52"/>
      <c r="AD20" s="53"/>
      <c r="AE20" s="53"/>
      <c r="AF20" s="106"/>
      <c r="AG20" s="106"/>
      <c r="AH20" s="106"/>
      <c r="AI20" s="107"/>
    </row>
    <row r="21" spans="1:35" ht="16.5">
      <c r="A21" s="89"/>
      <c r="B21" s="104"/>
      <c r="C21" s="91"/>
      <c r="D21" s="92"/>
      <c r="E21" s="93"/>
      <c r="F21" s="93"/>
      <c r="G21" s="93"/>
      <c r="H21" s="94">
        <f>$AD$27</f>
        <v>1000</v>
      </c>
      <c r="J21" s="89"/>
      <c r="K21" s="98"/>
      <c r="L21" s="91"/>
      <c r="M21" s="92"/>
      <c r="N21" s="93"/>
      <c r="O21" s="93"/>
      <c r="P21" s="93"/>
      <c r="Q21" s="94">
        <f>$AD$27</f>
        <v>1000</v>
      </c>
      <c r="S21" s="89"/>
      <c r="T21" s="95">
        <v>3.5</v>
      </c>
      <c r="U21" s="91"/>
      <c r="V21" s="92"/>
      <c r="W21" s="93"/>
      <c r="X21" s="93"/>
      <c r="Y21" s="93"/>
      <c r="Z21" s="94">
        <f>$AD$27</f>
        <v>1000</v>
      </c>
      <c r="AB21" s="108"/>
      <c r="AC21" s="109"/>
      <c r="AD21" s="110" t="s">
        <v>6</v>
      </c>
      <c r="AE21" s="110"/>
      <c r="AF21" s="111">
        <f>AF19+$AI$19</f>
        <v>38096</v>
      </c>
      <c r="AG21" s="111">
        <f>AG19+$AI$19</f>
        <v>17122.666666666664</v>
      </c>
      <c r="AH21" s="111">
        <f>AH19+$AI$19</f>
        <v>13546.962962962964</v>
      </c>
      <c r="AI21" s="112"/>
    </row>
    <row r="22" spans="1:35" ht="16.5">
      <c r="A22" s="89"/>
      <c r="B22" s="104"/>
      <c r="C22" s="97"/>
      <c r="D22" s="92"/>
      <c r="E22" s="93"/>
      <c r="F22" s="93"/>
      <c r="G22" s="93"/>
      <c r="H22" s="94">
        <f>$AD$28</f>
        <v>3000</v>
      </c>
      <c r="J22" s="89"/>
      <c r="K22" s="100"/>
      <c r="L22" s="91"/>
      <c r="M22" s="92">
        <f>EAPGPSK3_B</f>
        <v>386</v>
      </c>
      <c r="N22" s="93">
        <f>$M22*Parameters!B$10+Parameters!B$8+Parameters!B$9</f>
        <v>3280</v>
      </c>
      <c r="O22" s="93">
        <f>$M22*Parameters!C$10+Parameters!C$8+Parameters!C$9</f>
        <v>534.6666666666666</v>
      </c>
      <c r="P22" s="93">
        <f>$M22*Parameters!D$10+Parameters!D$8+Parameters!D$9</f>
        <v>77.18518518518519</v>
      </c>
      <c r="Q22" s="94"/>
      <c r="S22" s="89" t="s">
        <v>7</v>
      </c>
      <c r="T22" s="90"/>
      <c r="U22" s="91"/>
      <c r="V22" s="92">
        <f>EAPGPSK4_B</f>
        <v>60</v>
      </c>
      <c r="W22" s="93">
        <f>$V22*Parameters!$B$10+Parameters!$B$8+Parameters!$B$9</f>
        <v>672</v>
      </c>
      <c r="X22" s="93">
        <f>$V22*Parameters!$C$10+Parameters!$C$8+Parameters!$C$9</f>
        <v>100</v>
      </c>
      <c r="Y22" s="93">
        <f>$V22*Parameters!$D$10+Parameters!$D$8+Parameters!$D$9</f>
        <v>28.88888888888889</v>
      </c>
      <c r="Z22" s="94"/>
      <c r="AB22" s="51"/>
      <c r="AC22" s="52"/>
      <c r="AD22" s="53"/>
      <c r="AE22" s="53"/>
      <c r="AF22" s="81"/>
      <c r="AG22" s="81"/>
      <c r="AH22" s="81"/>
      <c r="AI22" s="82"/>
    </row>
    <row r="23" spans="1:35" ht="16.5">
      <c r="A23" s="89"/>
      <c r="B23" s="104">
        <v>5</v>
      </c>
      <c r="C23" s="91"/>
      <c r="D23" s="92"/>
      <c r="E23" s="93"/>
      <c r="F23" s="93"/>
      <c r="G23" s="93"/>
      <c r="H23" s="94">
        <f>$AD$27</f>
        <v>1000</v>
      </c>
      <c r="J23" s="89"/>
      <c r="K23" s="98">
        <v>4</v>
      </c>
      <c r="L23" s="91"/>
      <c r="M23" s="92"/>
      <c r="N23" s="93"/>
      <c r="O23" s="93"/>
      <c r="P23" s="93"/>
      <c r="Q23" s="94">
        <f>$AD$27</f>
        <v>1000</v>
      </c>
      <c r="S23" s="89"/>
      <c r="T23" s="95"/>
      <c r="U23" s="91"/>
      <c r="V23" s="92"/>
      <c r="W23" s="93"/>
      <c r="X23" s="93"/>
      <c r="Y23" s="93"/>
      <c r="Z23" s="94">
        <f>$AD$27</f>
        <v>1000</v>
      </c>
      <c r="AB23" s="51"/>
      <c r="AC23" s="52"/>
      <c r="AD23" s="53" t="s">
        <v>8</v>
      </c>
      <c r="AE23" s="53"/>
      <c r="AF23" s="81">
        <f>COUNTA(AF4:AF17)*(Parameters!B3+14*Parameters!B10+Parameters!B4+Parameters!B7)</f>
        <v>2410</v>
      </c>
      <c r="AG23" s="81">
        <f>COUNTA(AG4:AG17)*(Parameters!C3+14*Parameters!C10+Parameters!C4+Parameters!C7)</f>
        <v>680.8333333333333</v>
      </c>
      <c r="AH23" s="81">
        <f>COUNTA(AH4:AH17)*(Parameters!D3+14*Parameters!D10+Parameters!D4+Parameters!D7)</f>
        <v>597.8703703703704</v>
      </c>
      <c r="AI23" s="82"/>
    </row>
    <row r="24" spans="1:35" ht="18" thickBot="1">
      <c r="A24" s="89" t="s">
        <v>91</v>
      </c>
      <c r="B24" s="104"/>
      <c r="C24" s="96"/>
      <c r="D24" s="92"/>
      <c r="E24" s="93"/>
      <c r="F24" s="93"/>
      <c r="G24" s="93"/>
      <c r="H24" s="94">
        <f>$AD$28</f>
        <v>3000</v>
      </c>
      <c r="J24" s="89" t="s">
        <v>9</v>
      </c>
      <c r="K24" s="103"/>
      <c r="L24" s="91"/>
      <c r="M24" s="92">
        <f>EAPGPSK4_B</f>
        <v>60</v>
      </c>
      <c r="N24" s="93">
        <f>$M24*Parameters!B$10+Parameters!B$8+Parameters!B$9</f>
        <v>672</v>
      </c>
      <c r="O24" s="93">
        <f>$M24*Parameters!C$10+Parameters!C$8+Parameters!C$9</f>
        <v>100</v>
      </c>
      <c r="P24" s="93">
        <f>$M24*Parameters!D$10+Parameters!D$8+Parameters!D$9</f>
        <v>28.88888888888889</v>
      </c>
      <c r="Q24" s="94"/>
      <c r="S24" s="89"/>
      <c r="T24" s="95"/>
      <c r="U24" s="97"/>
      <c r="V24" s="92"/>
      <c r="W24" s="93"/>
      <c r="X24" s="93"/>
      <c r="Y24" s="93"/>
      <c r="Z24" s="94">
        <f>$AD$28</f>
        <v>3000</v>
      </c>
      <c r="AB24" s="113"/>
      <c r="AC24" s="114"/>
      <c r="AD24" s="115" t="s">
        <v>116</v>
      </c>
      <c r="AE24" s="115"/>
      <c r="AF24" s="116">
        <f>AF19+AF23</f>
        <v>27506</v>
      </c>
      <c r="AG24" s="116">
        <f>AG19+AG23</f>
        <v>4803.499999999999</v>
      </c>
      <c r="AH24" s="116">
        <f>AH19+AH23</f>
        <v>1144.8333333333335</v>
      </c>
      <c r="AI24" s="117"/>
    </row>
    <row r="25" spans="1:35" ht="16.5">
      <c r="A25" s="89"/>
      <c r="B25" s="104"/>
      <c r="C25" s="91"/>
      <c r="D25" s="92"/>
      <c r="E25" s="93"/>
      <c r="F25" s="93"/>
      <c r="G25" s="93"/>
      <c r="H25" s="94">
        <f>$AD$27</f>
        <v>1000</v>
      </c>
      <c r="J25" s="89"/>
      <c r="K25" s="98"/>
      <c r="L25" s="91"/>
      <c r="M25" s="92"/>
      <c r="N25" s="93"/>
      <c r="O25" s="93"/>
      <c r="P25" s="93"/>
      <c r="Q25" s="94">
        <f>$AD$27</f>
        <v>1000</v>
      </c>
      <c r="S25" s="89"/>
      <c r="T25" s="95"/>
      <c r="U25" s="91"/>
      <c r="V25" s="92"/>
      <c r="W25" s="93"/>
      <c r="X25" s="93"/>
      <c r="Y25" s="93"/>
      <c r="Z25" s="94">
        <f>$AD$27</f>
        <v>1000</v>
      </c>
      <c r="AG25" s="118"/>
      <c r="AH25" s="118"/>
      <c r="AI25" s="118"/>
    </row>
    <row r="26" spans="1:26" ht="18" thickBot="1">
      <c r="A26" s="89"/>
      <c r="B26" s="105"/>
      <c r="C26" s="91"/>
      <c r="D26" s="92">
        <f>EAPGPSK1_B</f>
        <v>336</v>
      </c>
      <c r="E26" s="93">
        <f>$D26*Parameters!B$10+Parameters!B$8+Parameters!B$9</f>
        <v>2880</v>
      </c>
      <c r="F26" s="93">
        <f>$D26*Parameters!C$10+Parameters!C$8+Parameters!C$9</f>
        <v>468</v>
      </c>
      <c r="G26" s="93">
        <f>$D26*Parameters!D$10+Parameters!D$8+Parameters!D$9</f>
        <v>69.77777777777777</v>
      </c>
      <c r="H26" s="94"/>
      <c r="J26" s="89"/>
      <c r="K26" s="98"/>
      <c r="L26" s="97"/>
      <c r="M26" s="92"/>
      <c r="N26" s="93"/>
      <c r="O26" s="93"/>
      <c r="P26" s="93"/>
      <c r="Q26" s="94">
        <f>$AD$28</f>
        <v>3000</v>
      </c>
      <c r="S26" s="89" t="s">
        <v>10</v>
      </c>
      <c r="T26" s="95"/>
      <c r="U26" s="96"/>
      <c r="V26" s="92"/>
      <c r="W26" s="93"/>
      <c r="X26" s="93"/>
      <c r="Y26" s="93"/>
      <c r="Z26" s="94">
        <f>$AD$28</f>
        <v>3000</v>
      </c>
    </row>
    <row r="27" spans="1:30" ht="16.5">
      <c r="A27" s="89"/>
      <c r="B27" s="104"/>
      <c r="C27" s="91"/>
      <c r="D27" s="92"/>
      <c r="E27" s="93"/>
      <c r="F27" s="93"/>
      <c r="G27" s="93"/>
      <c r="H27" s="94">
        <f>$AD$27</f>
        <v>1000</v>
      </c>
      <c r="J27" s="89"/>
      <c r="K27" s="98"/>
      <c r="L27" s="91"/>
      <c r="M27" s="92"/>
      <c r="N27" s="93"/>
      <c r="O27" s="93"/>
      <c r="P27" s="93"/>
      <c r="Q27" s="94">
        <f>$AD$27</f>
        <v>1000</v>
      </c>
      <c r="S27" s="89"/>
      <c r="T27" s="95"/>
      <c r="U27" s="91"/>
      <c r="V27" s="92"/>
      <c r="W27" s="93"/>
      <c r="X27" s="93"/>
      <c r="Y27" s="93"/>
      <c r="Z27" s="94">
        <f>$AD$27</f>
        <v>1000</v>
      </c>
      <c r="AC27" s="119" t="s">
        <v>11</v>
      </c>
      <c r="AD27" s="120">
        <v>1000</v>
      </c>
    </row>
    <row r="28" spans="1:30" ht="18" thickBot="1">
      <c r="A28" s="89" t="s">
        <v>12</v>
      </c>
      <c r="B28" s="102"/>
      <c r="C28" s="91"/>
      <c r="D28" s="92">
        <f>EAPGPSK2_B</f>
        <v>650</v>
      </c>
      <c r="E28" s="93">
        <f>$D28*Parameters!B$10+Parameters!B$8+Parameters!B$9</f>
        <v>5392</v>
      </c>
      <c r="F28" s="93">
        <f>$D28*Parameters!C$10+Parameters!C$8+Parameters!C$9</f>
        <v>886.6666666666666</v>
      </c>
      <c r="G28" s="93">
        <f>$D28*Parameters!D$10+Parameters!D$8+Parameters!D$9</f>
        <v>116.29629629629629</v>
      </c>
      <c r="H28" s="94"/>
      <c r="J28" s="89" t="s">
        <v>13</v>
      </c>
      <c r="K28" s="98"/>
      <c r="L28" s="96"/>
      <c r="M28" s="92"/>
      <c r="N28" s="93"/>
      <c r="O28" s="93"/>
      <c r="P28" s="93"/>
      <c r="Q28" s="94">
        <f>$AD$28</f>
        <v>3000</v>
      </c>
      <c r="S28" s="89"/>
      <c r="T28" s="99"/>
      <c r="U28" s="91"/>
      <c r="V28" s="92">
        <f>EAPSUCCESS_B</f>
        <v>44</v>
      </c>
      <c r="W28" s="93">
        <f>$V28*Parameters!$B$10+Parameters!$B$8+Parameters!$B$9</f>
        <v>544</v>
      </c>
      <c r="X28" s="93">
        <f>$V28*Parameters!$C$10+Parameters!$C$8+Parameters!$C$9</f>
        <v>78.66666666666666</v>
      </c>
      <c r="Y28" s="93">
        <f>$V28*Parameters!$D$10+Parameters!$D$8+Parameters!$D$9</f>
        <v>26.51851851851852</v>
      </c>
      <c r="Z28" s="94"/>
      <c r="AC28" s="121" t="s">
        <v>14</v>
      </c>
      <c r="AD28" s="122">
        <v>3000</v>
      </c>
    </row>
    <row r="29" spans="1:26" ht="16.5">
      <c r="A29" s="89"/>
      <c r="B29" s="104"/>
      <c r="C29" s="91"/>
      <c r="D29" s="92"/>
      <c r="E29" s="93"/>
      <c r="F29" s="93"/>
      <c r="G29" s="93"/>
      <c r="H29" s="94">
        <f>$AD$27</f>
        <v>1000</v>
      </c>
      <c r="J29" s="89"/>
      <c r="K29" s="98"/>
      <c r="L29" s="91"/>
      <c r="M29" s="92"/>
      <c r="N29" s="93"/>
      <c r="O29" s="93"/>
      <c r="P29" s="93"/>
      <c r="Q29" s="94">
        <f>$AD$27</f>
        <v>1000</v>
      </c>
      <c r="S29" s="89"/>
      <c r="T29" s="95">
        <v>4.5</v>
      </c>
      <c r="U29" s="91"/>
      <c r="V29" s="92"/>
      <c r="W29" s="93"/>
      <c r="X29" s="93"/>
      <c r="Y29" s="93"/>
      <c r="Z29" s="94">
        <f>$AD$27</f>
        <v>1000</v>
      </c>
    </row>
    <row r="30" spans="1:26" ht="16.5">
      <c r="A30" s="89"/>
      <c r="B30" s="104"/>
      <c r="C30" s="97"/>
      <c r="D30" s="92"/>
      <c r="E30" s="93"/>
      <c r="F30" s="93"/>
      <c r="G30" s="93"/>
      <c r="H30" s="94">
        <f>$AD$28</f>
        <v>3000</v>
      </c>
      <c r="J30" s="89"/>
      <c r="K30" s="100"/>
      <c r="L30" s="91"/>
      <c r="M30" s="92">
        <f>EAPSUCCESS_B</f>
        <v>44</v>
      </c>
      <c r="N30" s="93">
        <f>$M30*Parameters!B$10+Parameters!B$8+Parameters!B$9</f>
        <v>544</v>
      </c>
      <c r="O30" s="93">
        <f>$M30*Parameters!C$10+Parameters!C$8+Parameters!C$9</f>
        <v>78.66666666666666</v>
      </c>
      <c r="P30" s="93">
        <f>$M30*Parameters!D$10+Parameters!D$8+Parameters!D$9</f>
        <v>26.51851851851852</v>
      </c>
      <c r="Q30" s="94"/>
      <c r="S30" s="89" t="s">
        <v>15</v>
      </c>
      <c r="T30" s="90"/>
      <c r="U30" s="91"/>
      <c r="V30" s="92">
        <f>EAPOLKEY1_B</f>
        <v>135</v>
      </c>
      <c r="W30" s="93">
        <f>$V30*Parameters!$B$10+Parameters!$B$8+Parameters!$B$9</f>
        <v>1272</v>
      </c>
      <c r="X30" s="93">
        <f>$V30*Parameters!$C$10+Parameters!$C$8+Parameters!$C$9</f>
        <v>200</v>
      </c>
      <c r="Y30" s="93">
        <f>$V30*Parameters!$D$10+Parameters!$D$8+Parameters!$D$9</f>
        <v>40</v>
      </c>
      <c r="Z30" s="94"/>
    </row>
    <row r="31" spans="1:26" ht="16.5">
      <c r="A31" s="89"/>
      <c r="B31" s="104">
        <v>6</v>
      </c>
      <c r="C31" s="91"/>
      <c r="D31" s="92"/>
      <c r="E31" s="93"/>
      <c r="F31" s="93"/>
      <c r="G31" s="93"/>
      <c r="H31" s="94">
        <f>$AD$27</f>
        <v>1000</v>
      </c>
      <c r="J31" s="89"/>
      <c r="K31" s="98">
        <v>5</v>
      </c>
      <c r="L31" s="91"/>
      <c r="M31" s="92"/>
      <c r="N31" s="93"/>
      <c r="O31" s="93"/>
      <c r="P31" s="93"/>
      <c r="Q31" s="94">
        <f>$AD$27</f>
        <v>1000</v>
      </c>
      <c r="S31" s="89"/>
      <c r="T31" s="95"/>
      <c r="U31" s="91"/>
      <c r="V31" s="92"/>
      <c r="W31" s="93"/>
      <c r="X31" s="93"/>
      <c r="Y31" s="93"/>
      <c r="Z31" s="94">
        <f>$AD$27</f>
        <v>1000</v>
      </c>
    </row>
    <row r="32" spans="1:26" ht="16.5">
      <c r="A32" s="89" t="s">
        <v>16</v>
      </c>
      <c r="B32" s="104"/>
      <c r="C32" s="96"/>
      <c r="D32" s="92"/>
      <c r="E32" s="93"/>
      <c r="F32" s="93"/>
      <c r="G32" s="93"/>
      <c r="H32" s="94">
        <f>$AD$28</f>
        <v>3000</v>
      </c>
      <c r="J32" s="89" t="s">
        <v>15</v>
      </c>
      <c r="K32" s="103"/>
      <c r="L32" s="91"/>
      <c r="M32" s="92">
        <f>EAPOLKEY1_B</f>
        <v>135</v>
      </c>
      <c r="N32" s="93">
        <f>$M32*Parameters!B$10+Parameters!B$8+Parameters!B$9</f>
        <v>1272</v>
      </c>
      <c r="O32" s="93">
        <f>$M32*Parameters!C$10+Parameters!C$8+Parameters!C$9</f>
        <v>200</v>
      </c>
      <c r="P32" s="93">
        <f>$M32*Parameters!D$10+Parameters!D$8+Parameters!D$9</f>
        <v>40</v>
      </c>
      <c r="Q32" s="94"/>
      <c r="S32" s="89" t="s">
        <v>15</v>
      </c>
      <c r="T32" s="99"/>
      <c r="U32" s="91"/>
      <c r="V32" s="92">
        <f>EAPOLKEY2_B</f>
        <v>161</v>
      </c>
      <c r="W32" s="93">
        <f>$V32*Parameters!$B$10+Parameters!$B$8+Parameters!$B$9</f>
        <v>1480</v>
      </c>
      <c r="X32" s="93">
        <f>$V32*Parameters!$C$10+Parameters!$C$8+Parameters!$C$9</f>
        <v>234.66666666666666</v>
      </c>
      <c r="Y32" s="93">
        <f>$V32*Parameters!$D$10+Parameters!$D$8+Parameters!$D$9</f>
        <v>43.85185185185185</v>
      </c>
      <c r="Z32" s="94"/>
    </row>
    <row r="33" spans="1:26" ht="16.5">
      <c r="A33" s="89"/>
      <c r="B33" s="104"/>
      <c r="C33" s="91"/>
      <c r="D33" s="92"/>
      <c r="E33" s="93"/>
      <c r="F33" s="93"/>
      <c r="G33" s="93"/>
      <c r="H33" s="94">
        <f>$AD$27</f>
        <v>1000</v>
      </c>
      <c r="J33" s="89"/>
      <c r="K33" s="98"/>
      <c r="L33" s="91"/>
      <c r="M33" s="92"/>
      <c r="N33" s="93"/>
      <c r="O33" s="93"/>
      <c r="P33" s="93"/>
      <c r="Q33" s="94">
        <f>$AD$27</f>
        <v>1000</v>
      </c>
      <c r="S33" s="89"/>
      <c r="T33" s="95">
        <v>5.5</v>
      </c>
      <c r="U33" s="91"/>
      <c r="V33" s="92"/>
      <c r="W33" s="93"/>
      <c r="X33" s="93"/>
      <c r="Y33" s="93"/>
      <c r="Z33" s="94">
        <f>$AD$27</f>
        <v>1000</v>
      </c>
    </row>
    <row r="34" spans="1:26" ht="16.5">
      <c r="A34" s="89"/>
      <c r="B34" s="105"/>
      <c r="C34" s="91"/>
      <c r="D34" s="92">
        <f>EAPGPSK3_B</f>
        <v>386</v>
      </c>
      <c r="E34" s="93">
        <f>$D34*Parameters!B$10+Parameters!B$8+Parameters!B$9</f>
        <v>3280</v>
      </c>
      <c r="F34" s="93">
        <f>$D34*Parameters!C$10+Parameters!C$8+Parameters!C$9</f>
        <v>534.6666666666666</v>
      </c>
      <c r="G34" s="93">
        <f>$D34*Parameters!D$10+Parameters!D$8+Parameters!D$9</f>
        <v>77.18518518518519</v>
      </c>
      <c r="H34" s="94"/>
      <c r="J34" s="89" t="s">
        <v>15</v>
      </c>
      <c r="K34" s="100"/>
      <c r="L34" s="91"/>
      <c r="M34" s="92">
        <f>EAPOLKEY2_B</f>
        <v>161</v>
      </c>
      <c r="N34" s="93">
        <f>$M34*Parameters!B$10+Parameters!B$8+Parameters!B$9</f>
        <v>1480</v>
      </c>
      <c r="O34" s="93">
        <f>$M34*Parameters!C$10+Parameters!C$8+Parameters!C$9</f>
        <v>234.66666666666666</v>
      </c>
      <c r="P34" s="93">
        <f>$M34*Parameters!D$10+Parameters!D$8+Parameters!D$9</f>
        <v>43.85185185185185</v>
      </c>
      <c r="Q34" s="94"/>
      <c r="S34" s="89" t="s">
        <v>15</v>
      </c>
      <c r="T34" s="90"/>
      <c r="U34" s="91"/>
      <c r="V34" s="92">
        <f>EAPOLKEY3_B</f>
        <v>165</v>
      </c>
      <c r="W34" s="93">
        <f>$V34*Parameters!$B$10+Parameters!$B$8+Parameters!$B$9</f>
        <v>1512</v>
      </c>
      <c r="X34" s="93">
        <f>$V34*Parameters!$C$10+Parameters!$C$8+Parameters!$C$9</f>
        <v>240</v>
      </c>
      <c r="Y34" s="93">
        <f>$V34*Parameters!$D$10+Parameters!$D$8+Parameters!$D$9</f>
        <v>44.44444444444444</v>
      </c>
      <c r="Z34" s="94"/>
    </row>
    <row r="35" spans="1:26" ht="16.5">
      <c r="A35" s="89"/>
      <c r="B35" s="104"/>
      <c r="C35" s="91"/>
      <c r="D35" s="92"/>
      <c r="E35" s="93"/>
      <c r="F35" s="93"/>
      <c r="G35" s="93"/>
      <c r="H35" s="94">
        <f>$AD$27</f>
        <v>1000</v>
      </c>
      <c r="J35" s="89"/>
      <c r="K35" s="98">
        <v>6</v>
      </c>
      <c r="L35" s="91"/>
      <c r="M35" s="92"/>
      <c r="N35" s="93"/>
      <c r="O35" s="93"/>
      <c r="P35" s="93"/>
      <c r="Q35" s="94">
        <f>$AD$27</f>
        <v>1000</v>
      </c>
      <c r="S35" s="51"/>
      <c r="T35" s="52"/>
      <c r="U35" s="53"/>
      <c r="V35" s="80"/>
      <c r="W35" s="81"/>
      <c r="X35" s="81"/>
      <c r="Y35" s="81"/>
      <c r="Z35" s="82">
        <f>$AD$27</f>
        <v>1000</v>
      </c>
    </row>
    <row r="36" spans="1:26" ht="16.5">
      <c r="A36" s="89" t="s">
        <v>7</v>
      </c>
      <c r="B36" s="102"/>
      <c r="C36" s="91"/>
      <c r="D36" s="92">
        <f>EAPGPSK4_B</f>
        <v>60</v>
      </c>
      <c r="E36" s="93">
        <f>$D36*Parameters!B$10+Parameters!B$8+Parameters!B$9</f>
        <v>672</v>
      </c>
      <c r="F36" s="93">
        <f>$D36*Parameters!C$10+Parameters!C$8+Parameters!C$9</f>
        <v>100</v>
      </c>
      <c r="G36" s="93">
        <f>$D36*Parameters!D$10+Parameters!D$8+Parameters!D$9</f>
        <v>28.88888888888889</v>
      </c>
      <c r="H36" s="94"/>
      <c r="J36" s="89" t="s">
        <v>17</v>
      </c>
      <c r="K36" s="103"/>
      <c r="L36" s="91"/>
      <c r="M36" s="92">
        <f>EAPOLKEY3_B</f>
        <v>165</v>
      </c>
      <c r="N36" s="93">
        <f>$M36*Parameters!B$10+Parameters!B$8+Parameters!B$9</f>
        <v>1512</v>
      </c>
      <c r="O36" s="93">
        <f>$M36*Parameters!C$10+Parameters!C$8+Parameters!C$9</f>
        <v>240</v>
      </c>
      <c r="P36" s="93">
        <f>$M36*Parameters!D$10+Parameters!D$8+Parameters!D$9</f>
        <v>44.44444444444444</v>
      </c>
      <c r="Q36" s="94"/>
      <c r="S36" s="83" t="s">
        <v>18</v>
      </c>
      <c r="T36" s="123">
        <v>6</v>
      </c>
      <c r="U36" s="85"/>
      <c r="V36" s="86">
        <v>600</v>
      </c>
      <c r="W36" s="87">
        <f>$V36*Parameters!$B$10+Parameters!$B$8+Parameters!$B$9</f>
        <v>4992</v>
      </c>
      <c r="X36" s="87">
        <f>$V36*Parameters!$C$10+Parameters!$C$8+Parameters!$C$9</f>
        <v>820</v>
      </c>
      <c r="Y36" s="87">
        <f>$V36*Parameters!$D$10+Parameters!$D$8+Parameters!$D$9</f>
        <v>108.88888888888889</v>
      </c>
      <c r="Z36" s="88"/>
    </row>
    <row r="37" spans="1:26" ht="16.5">
      <c r="A37" s="89"/>
      <c r="B37" s="104"/>
      <c r="C37" s="91"/>
      <c r="D37" s="92"/>
      <c r="E37" s="93"/>
      <c r="F37" s="93"/>
      <c r="G37" s="93"/>
      <c r="H37" s="94">
        <f>$AD$27</f>
        <v>1000</v>
      </c>
      <c r="J37" s="51"/>
      <c r="K37" s="57"/>
      <c r="L37" s="53"/>
      <c r="M37" s="80"/>
      <c r="N37" s="81"/>
      <c r="O37" s="81"/>
      <c r="P37" s="81"/>
      <c r="Q37" s="82">
        <f>$AD$27</f>
        <v>1000</v>
      </c>
      <c r="S37" s="51"/>
      <c r="T37" s="52"/>
      <c r="U37" s="53"/>
      <c r="V37" s="53"/>
      <c r="W37" s="81"/>
      <c r="X37" s="81"/>
      <c r="Y37" s="81"/>
      <c r="Z37" s="82"/>
    </row>
    <row r="38" spans="1:26" ht="16.5">
      <c r="A38" s="89"/>
      <c r="B38" s="104"/>
      <c r="C38" s="97"/>
      <c r="D38" s="92"/>
      <c r="E38" s="93"/>
      <c r="F38" s="93"/>
      <c r="G38" s="93"/>
      <c r="H38" s="94">
        <f>$AD$28</f>
        <v>3000</v>
      </c>
      <c r="J38" s="83" t="s">
        <v>19</v>
      </c>
      <c r="K38" s="124"/>
      <c r="L38" s="85"/>
      <c r="M38" s="86">
        <v>300</v>
      </c>
      <c r="N38" s="87">
        <f>$M38*Parameters!B$10+Parameters!B$8+Parameters!B$9</f>
        <v>2592</v>
      </c>
      <c r="O38" s="87">
        <f>$M38*Parameters!C$10+Parameters!C$8+Parameters!C$9</f>
        <v>420</v>
      </c>
      <c r="P38" s="87">
        <f>$M38*Parameters!D$10+Parameters!D$8+Parameters!D$9</f>
        <v>64.44444444444444</v>
      </c>
      <c r="Q38" s="88"/>
      <c r="S38" s="51"/>
      <c r="T38" s="52"/>
      <c r="U38" s="53"/>
      <c r="V38" s="53"/>
      <c r="W38" s="106">
        <f>SUM(W4:W37)</f>
        <v>28976</v>
      </c>
      <c r="X38" s="106">
        <f>SUM(X4:X37)</f>
        <v>4685.333333333332</v>
      </c>
      <c r="Y38" s="106">
        <f>SUM(Y4:Y37)</f>
        <v>733.9259259259261</v>
      </c>
      <c r="Z38" s="107">
        <f>SUM(Z4:Z37)</f>
        <v>31000</v>
      </c>
    </row>
    <row r="39" spans="1:26" ht="16.5">
      <c r="A39" s="89"/>
      <c r="B39" s="104">
        <v>7</v>
      </c>
      <c r="C39" s="91"/>
      <c r="D39" s="92"/>
      <c r="E39" s="93"/>
      <c r="F39" s="93"/>
      <c r="G39" s="93"/>
      <c r="H39" s="94">
        <f>$AD$27</f>
        <v>1000</v>
      </c>
      <c r="J39" s="83"/>
      <c r="K39" s="125"/>
      <c r="L39" s="85"/>
      <c r="M39" s="86"/>
      <c r="N39" s="87"/>
      <c r="O39" s="87"/>
      <c r="P39" s="87"/>
      <c r="Q39" s="88">
        <f>$AD$27</f>
        <v>1000</v>
      </c>
      <c r="S39" s="51"/>
      <c r="T39" s="52"/>
      <c r="U39" s="53"/>
      <c r="V39" s="53"/>
      <c r="W39" s="106"/>
      <c r="X39" s="106"/>
      <c r="Y39" s="106"/>
      <c r="Z39" s="107"/>
    </row>
    <row r="40" spans="1:26" ht="16.5">
      <c r="A40" s="89" t="s">
        <v>20</v>
      </c>
      <c r="B40" s="104"/>
      <c r="C40" s="96"/>
      <c r="D40" s="92"/>
      <c r="E40" s="93"/>
      <c r="F40" s="93"/>
      <c r="G40" s="93"/>
      <c r="H40" s="94">
        <f>$AD$28</f>
        <v>3000</v>
      </c>
      <c r="J40" s="83"/>
      <c r="K40" s="125"/>
      <c r="L40" s="126"/>
      <c r="M40" s="86"/>
      <c r="N40" s="87"/>
      <c r="O40" s="87"/>
      <c r="P40" s="87"/>
      <c r="Q40" s="88">
        <f>$AD$28</f>
        <v>3000</v>
      </c>
      <c r="S40" s="108"/>
      <c r="T40" s="109"/>
      <c r="U40" s="110" t="s">
        <v>21</v>
      </c>
      <c r="V40" s="110"/>
      <c r="W40" s="111">
        <f>W38+$Z$38</f>
        <v>59976</v>
      </c>
      <c r="X40" s="111">
        <f>X38+$Z$38</f>
        <v>35685.33333333333</v>
      </c>
      <c r="Y40" s="111">
        <f>Y38+$Z$38</f>
        <v>31733.925925925927</v>
      </c>
      <c r="Z40" s="112"/>
    </row>
    <row r="41" spans="1:26" ht="16.5">
      <c r="A41" s="89"/>
      <c r="B41" s="104"/>
      <c r="C41" s="91"/>
      <c r="D41" s="92"/>
      <c r="E41" s="93"/>
      <c r="F41" s="93"/>
      <c r="G41" s="93"/>
      <c r="H41" s="94">
        <f>$AD$27</f>
        <v>1000</v>
      </c>
      <c r="J41" s="83"/>
      <c r="K41" s="125">
        <v>7</v>
      </c>
      <c r="L41" s="85"/>
      <c r="M41" s="86"/>
      <c r="N41" s="87"/>
      <c r="O41" s="87"/>
      <c r="P41" s="87"/>
      <c r="Q41" s="88">
        <f>$AD$27</f>
        <v>1000</v>
      </c>
      <c r="S41" s="51"/>
      <c r="T41" s="52"/>
      <c r="U41" s="53"/>
      <c r="V41" s="53"/>
      <c r="W41" s="81"/>
      <c r="X41" s="81"/>
      <c r="Y41" s="81"/>
      <c r="Z41" s="82"/>
    </row>
    <row r="42" spans="1:26" ht="16.5">
      <c r="A42" s="89"/>
      <c r="B42" s="105"/>
      <c r="C42" s="91"/>
      <c r="D42" s="92">
        <f>EAPSUCCESS_B</f>
        <v>44</v>
      </c>
      <c r="E42" s="93">
        <f>$D42*Parameters!B$10+Parameters!B$8+Parameters!B$9</f>
        <v>544</v>
      </c>
      <c r="F42" s="93">
        <f>$D42*Parameters!C$10+Parameters!C$8+Parameters!C$9</f>
        <v>78.66666666666666</v>
      </c>
      <c r="G42" s="93">
        <f>$D42*Parameters!D$10+Parameters!D$8+Parameters!D$9</f>
        <v>26.51851851851852</v>
      </c>
      <c r="H42" s="94"/>
      <c r="J42" s="83" t="s">
        <v>22</v>
      </c>
      <c r="K42" s="125"/>
      <c r="L42" s="127"/>
      <c r="M42" s="86"/>
      <c r="N42" s="87"/>
      <c r="O42" s="87"/>
      <c r="P42" s="87"/>
      <c r="Q42" s="88">
        <f>$AD$28</f>
        <v>3000</v>
      </c>
      <c r="S42" s="51"/>
      <c r="T42" s="52"/>
      <c r="U42" s="53" t="s">
        <v>23</v>
      </c>
      <c r="V42" s="53"/>
      <c r="W42" s="81">
        <f>COUNTA(W4:W36)*(Parameters!B$3+14*Parameters!B$10+Parameters!B$4+Parameters!B$7)</f>
        <v>5784</v>
      </c>
      <c r="X42" s="81">
        <f>COUNTA(X4:X36)*(Parameters!C$3+14*Parameters!C$10+Parameters!C$4+Parameters!C$7)</f>
        <v>1634</v>
      </c>
      <c r="Y42" s="81">
        <f>COUNTA(Y4:Y36)*(Parameters!D$3+14*Parameters!D$10+Parameters!D$4+Parameters!D$7)</f>
        <v>1434.888888888889</v>
      </c>
      <c r="Z42" s="82"/>
    </row>
    <row r="43" spans="1:26" ht="18" thickBot="1">
      <c r="A43" s="89"/>
      <c r="B43" s="104"/>
      <c r="C43" s="91"/>
      <c r="D43" s="92"/>
      <c r="E43" s="93"/>
      <c r="F43" s="93"/>
      <c r="G43" s="93"/>
      <c r="H43" s="94">
        <f>$AD$27</f>
        <v>1000</v>
      </c>
      <c r="J43" s="83"/>
      <c r="K43" s="125"/>
      <c r="L43" s="85"/>
      <c r="M43" s="86"/>
      <c r="N43" s="87"/>
      <c r="O43" s="87"/>
      <c r="P43" s="87"/>
      <c r="Q43" s="88">
        <f>$AD$27</f>
        <v>1000</v>
      </c>
      <c r="S43" s="113"/>
      <c r="T43" s="114"/>
      <c r="U43" s="115" t="s">
        <v>24</v>
      </c>
      <c r="V43" s="115"/>
      <c r="W43" s="116">
        <f>W38+W42</f>
        <v>34760</v>
      </c>
      <c r="X43" s="116">
        <f>X38+X42</f>
        <v>6319.333333333332</v>
      </c>
      <c r="Y43" s="116">
        <f>Y38+Y42</f>
        <v>2168.814814814815</v>
      </c>
      <c r="Z43" s="117"/>
    </row>
    <row r="44" spans="1:17" ht="16.5">
      <c r="A44" s="89" t="s">
        <v>25</v>
      </c>
      <c r="B44" s="102"/>
      <c r="C44" s="91"/>
      <c r="D44" s="92">
        <f>EAPOLKEY1_B</f>
        <v>135</v>
      </c>
      <c r="E44" s="93">
        <f>$D44*Parameters!B$10+Parameters!B$8+Parameters!B$9</f>
        <v>1272</v>
      </c>
      <c r="F44" s="93">
        <f>$D44*Parameters!C$10+Parameters!C$8+Parameters!C$9</f>
        <v>200</v>
      </c>
      <c r="G44" s="93">
        <f>$D44*Parameters!D$10+Parameters!D$8+Parameters!D$9</f>
        <v>40</v>
      </c>
      <c r="H44" s="94"/>
      <c r="J44" s="83"/>
      <c r="K44" s="128"/>
      <c r="L44" s="85"/>
      <c r="M44" s="86">
        <v>364</v>
      </c>
      <c r="N44" s="87">
        <f>$M44*Parameters!B$10+Parameters!B$8+Parameters!B$9</f>
        <v>3104</v>
      </c>
      <c r="O44" s="87">
        <f>$M44*Parameters!C$10+Parameters!C$8+Parameters!C$9</f>
        <v>505.3333333333333</v>
      </c>
      <c r="P44" s="87">
        <f>$M44*Parameters!D$10+Parameters!D$8+Parameters!D$9</f>
        <v>73.92592592592592</v>
      </c>
      <c r="Q44" s="88"/>
    </row>
    <row r="45" spans="1:17" ht="16.5">
      <c r="A45" s="89"/>
      <c r="B45" s="104">
        <v>8</v>
      </c>
      <c r="C45" s="91"/>
      <c r="D45" s="92"/>
      <c r="E45" s="93"/>
      <c r="F45" s="93"/>
      <c r="G45" s="93"/>
      <c r="H45" s="94">
        <f>$AD$27</f>
        <v>1000</v>
      </c>
      <c r="J45" s="83"/>
      <c r="K45" s="125"/>
      <c r="L45" s="85"/>
      <c r="M45" s="86"/>
      <c r="N45" s="87"/>
      <c r="O45" s="87"/>
      <c r="P45" s="87"/>
      <c r="Q45" s="88">
        <f>$AD$27</f>
        <v>1000</v>
      </c>
    </row>
    <row r="46" spans="1:17" ht="16.5">
      <c r="A46" s="89" t="s">
        <v>17</v>
      </c>
      <c r="B46" s="105"/>
      <c r="C46" s="91"/>
      <c r="D46" s="92">
        <f>EAPOLKEY2_B</f>
        <v>161</v>
      </c>
      <c r="E46" s="93">
        <f>$D46*Parameters!B$10+Parameters!B$8+Parameters!B$9</f>
        <v>1480</v>
      </c>
      <c r="F46" s="93">
        <f>$D46*Parameters!C$10+Parameters!C$8+Parameters!C$9</f>
        <v>234.66666666666666</v>
      </c>
      <c r="G46" s="93">
        <f>$D46*Parameters!D$10+Parameters!D$8+Parameters!D$9</f>
        <v>43.85185185185185</v>
      </c>
      <c r="H46" s="94"/>
      <c r="J46" s="83" t="s">
        <v>26</v>
      </c>
      <c r="K46" s="124"/>
      <c r="L46" s="85"/>
      <c r="M46" s="86">
        <v>364</v>
      </c>
      <c r="N46" s="87">
        <f>$M46*Parameters!B$10+Parameters!B$8+Parameters!B$9</f>
        <v>3104</v>
      </c>
      <c r="O46" s="87">
        <f>$M46*Parameters!C$10+Parameters!C$8+Parameters!C$9</f>
        <v>505.3333333333333</v>
      </c>
      <c r="P46" s="87">
        <f>$M46*Parameters!D$10+Parameters!D$8+Parameters!D$9</f>
        <v>73.92592592592592</v>
      </c>
      <c r="Q46" s="88"/>
    </row>
    <row r="47" spans="1:17" ht="16.5">
      <c r="A47" s="89"/>
      <c r="B47" s="104"/>
      <c r="C47" s="91"/>
      <c r="D47" s="92"/>
      <c r="E47" s="93"/>
      <c r="F47" s="93"/>
      <c r="G47" s="93"/>
      <c r="H47" s="94">
        <f>$AD$27</f>
        <v>1000</v>
      </c>
      <c r="J47" s="83"/>
      <c r="K47" s="125"/>
      <c r="L47" s="85"/>
      <c r="M47" s="86"/>
      <c r="N47" s="87"/>
      <c r="O47" s="87"/>
      <c r="P47" s="87"/>
      <c r="Q47" s="88">
        <f>$AD$27</f>
        <v>1000</v>
      </c>
    </row>
    <row r="48" spans="1:17" ht="16.5">
      <c r="A48" s="89" t="s">
        <v>17</v>
      </c>
      <c r="B48" s="102"/>
      <c r="C48" s="91"/>
      <c r="D48" s="92">
        <f>EAPOLKEY3_B</f>
        <v>165</v>
      </c>
      <c r="E48" s="93">
        <f>$D48*Parameters!B$10+Parameters!B$8+Parameters!B$9</f>
        <v>1512</v>
      </c>
      <c r="F48" s="93">
        <f>$D48*Parameters!C$10+Parameters!C$8+Parameters!C$9</f>
        <v>240</v>
      </c>
      <c r="G48" s="93">
        <f>$D48*Parameters!D$10+Parameters!D$8+Parameters!D$9</f>
        <v>44.44444444444444</v>
      </c>
      <c r="H48" s="94"/>
      <c r="J48" s="83"/>
      <c r="K48" s="125"/>
      <c r="L48" s="126"/>
      <c r="M48" s="86"/>
      <c r="N48" s="87"/>
      <c r="O48" s="87"/>
      <c r="P48" s="87"/>
      <c r="Q48" s="88">
        <f>$AD$28</f>
        <v>3000</v>
      </c>
    </row>
    <row r="49" spans="1:17" ht="16.5">
      <c r="A49" s="89"/>
      <c r="B49" s="104">
        <v>9</v>
      </c>
      <c r="C49" s="91"/>
      <c r="D49" s="92"/>
      <c r="E49" s="93"/>
      <c r="F49" s="93"/>
      <c r="G49" s="93"/>
      <c r="H49" s="94">
        <f>$AD$27</f>
        <v>1000</v>
      </c>
      <c r="J49" s="83"/>
      <c r="K49" s="125">
        <v>8</v>
      </c>
      <c r="L49" s="85"/>
      <c r="M49" s="86"/>
      <c r="N49" s="87"/>
      <c r="O49" s="87"/>
      <c r="P49" s="87"/>
      <c r="Q49" s="88">
        <f>$AD$27</f>
        <v>1000</v>
      </c>
    </row>
    <row r="50" spans="1:17" ht="16.5">
      <c r="A50" s="89" t="s">
        <v>17</v>
      </c>
      <c r="B50" s="105"/>
      <c r="C50" s="91"/>
      <c r="D50" s="92">
        <f>EAPOLKEY4_B</f>
        <v>135</v>
      </c>
      <c r="E50" s="93">
        <f>$D50*Parameters!B$10+Parameters!B$8+Parameters!B$9</f>
        <v>1272</v>
      </c>
      <c r="F50" s="93">
        <f>$D50*Parameters!C$10+Parameters!C$8+Parameters!C$9</f>
        <v>200</v>
      </c>
      <c r="G50" s="93">
        <f>$D50*Parameters!D$10+Parameters!D$8+Parameters!D$9</f>
        <v>40</v>
      </c>
      <c r="H50" s="94"/>
      <c r="J50" s="83" t="s">
        <v>27</v>
      </c>
      <c r="K50" s="125"/>
      <c r="L50" s="127"/>
      <c r="M50" s="86"/>
      <c r="N50" s="87"/>
      <c r="O50" s="87"/>
      <c r="P50" s="87"/>
      <c r="Q50" s="88">
        <f>$AD$28</f>
        <v>3000</v>
      </c>
    </row>
    <row r="51" spans="1:17" ht="16.5">
      <c r="A51" s="74"/>
      <c r="B51" s="130"/>
      <c r="C51" s="76"/>
      <c r="D51" s="77"/>
      <c r="E51" s="78"/>
      <c r="F51" s="78"/>
      <c r="G51" s="78"/>
      <c r="H51" s="79">
        <f>$AD$27</f>
        <v>1000</v>
      </c>
      <c r="J51" s="83"/>
      <c r="K51" s="125"/>
      <c r="L51" s="85"/>
      <c r="M51" s="86"/>
      <c r="N51" s="87"/>
      <c r="O51" s="87"/>
      <c r="P51" s="87"/>
      <c r="Q51" s="88">
        <f>$AD$27</f>
        <v>1000</v>
      </c>
    </row>
    <row r="52" spans="1:17" ht="16.5">
      <c r="A52" s="83" t="s">
        <v>19</v>
      </c>
      <c r="B52" s="131"/>
      <c r="C52" s="85"/>
      <c r="D52" s="86">
        <v>300</v>
      </c>
      <c r="E52" s="87">
        <f>$D52*Parameters!B$10+Parameters!B$8+Parameters!B$9</f>
        <v>2592</v>
      </c>
      <c r="F52" s="87">
        <f>$D52*Parameters!C$10+Parameters!C$8+Parameters!C$9</f>
        <v>420</v>
      </c>
      <c r="G52" s="87">
        <f>$D52*Parameters!D$10+Parameters!D$8+Parameters!D$9</f>
        <v>64.44444444444444</v>
      </c>
      <c r="H52" s="88"/>
      <c r="J52" s="83"/>
      <c r="K52" s="128"/>
      <c r="L52" s="85"/>
      <c r="M52" s="86">
        <v>364</v>
      </c>
      <c r="N52" s="87">
        <f>$M52*Parameters!B$10+Parameters!B$8+Parameters!B$9</f>
        <v>3104</v>
      </c>
      <c r="O52" s="87">
        <f>$M52*Parameters!C$10+Parameters!C$8+Parameters!C$9</f>
        <v>505.3333333333333</v>
      </c>
      <c r="P52" s="87">
        <f>$M52*Parameters!D$10+Parameters!D$8+Parameters!D$9</f>
        <v>73.92592592592592</v>
      </c>
      <c r="Q52" s="88"/>
    </row>
    <row r="53" spans="1:17" ht="16.5">
      <c r="A53" s="83"/>
      <c r="B53" s="132"/>
      <c r="C53" s="85"/>
      <c r="D53" s="86"/>
      <c r="E53" s="87"/>
      <c r="F53" s="87"/>
      <c r="G53" s="87"/>
      <c r="H53" s="88">
        <f>$AD$27</f>
        <v>1000</v>
      </c>
      <c r="J53" s="83"/>
      <c r="K53" s="125"/>
      <c r="L53" s="85"/>
      <c r="M53" s="86"/>
      <c r="N53" s="87"/>
      <c r="O53" s="87"/>
      <c r="P53" s="87"/>
      <c r="Q53" s="88">
        <f>$AD$27</f>
        <v>1000</v>
      </c>
    </row>
    <row r="54" spans="1:26" ht="16.5">
      <c r="A54" s="83"/>
      <c r="B54" s="132"/>
      <c r="C54" s="126"/>
      <c r="D54" s="86"/>
      <c r="E54" s="87"/>
      <c r="F54" s="87"/>
      <c r="G54" s="87"/>
      <c r="H54" s="88">
        <f>$AD$28</f>
        <v>3000</v>
      </c>
      <c r="J54" s="83" t="s">
        <v>28</v>
      </c>
      <c r="K54" s="124"/>
      <c r="L54" s="85"/>
      <c r="M54" s="86">
        <v>64</v>
      </c>
      <c r="N54" s="87">
        <f>$M54*Parameters!B$10+Parameters!B$8+Parameters!B$9</f>
        <v>704</v>
      </c>
      <c r="O54" s="87">
        <f>$M54*Parameters!C$10+Parameters!C$8+Parameters!C$9</f>
        <v>105.33333333333333</v>
      </c>
      <c r="P54" s="87">
        <f>$M54*Parameters!D$10+Parameters!D$8+Parameters!D$9</f>
        <v>29.48148148148148</v>
      </c>
      <c r="Q54" s="88"/>
      <c r="S54" s="133"/>
      <c r="T54" s="134"/>
      <c r="U54" s="133"/>
      <c r="V54" s="133"/>
      <c r="W54" s="133"/>
      <c r="X54" s="133"/>
      <c r="Y54" s="133"/>
      <c r="Z54" s="133"/>
    </row>
    <row r="55" spans="1:17" ht="16.5">
      <c r="A55" s="83"/>
      <c r="B55" s="132">
        <v>10</v>
      </c>
      <c r="C55" s="85"/>
      <c r="D55" s="86"/>
      <c r="E55" s="87"/>
      <c r="F55" s="87"/>
      <c r="G55" s="87"/>
      <c r="H55" s="88">
        <f>$AD$27</f>
        <v>1000</v>
      </c>
      <c r="J55" s="83"/>
      <c r="K55" s="125"/>
      <c r="L55" s="85"/>
      <c r="M55" s="86"/>
      <c r="N55" s="87"/>
      <c r="O55" s="87"/>
      <c r="P55" s="87"/>
      <c r="Q55" s="88">
        <f>$AD$27</f>
        <v>1000</v>
      </c>
    </row>
    <row r="56" spans="1:17" ht="16.5">
      <c r="A56" s="83" t="s">
        <v>22</v>
      </c>
      <c r="B56" s="132"/>
      <c r="C56" s="127"/>
      <c r="D56" s="86"/>
      <c r="E56" s="87"/>
      <c r="F56" s="87"/>
      <c r="G56" s="87"/>
      <c r="H56" s="88">
        <f>$AD$28</f>
        <v>3000</v>
      </c>
      <c r="J56" s="83"/>
      <c r="K56" s="125"/>
      <c r="L56" s="126"/>
      <c r="M56" s="86"/>
      <c r="N56" s="87"/>
      <c r="O56" s="87"/>
      <c r="P56" s="87"/>
      <c r="Q56" s="88">
        <f>$AD$28</f>
        <v>3000</v>
      </c>
    </row>
    <row r="57" spans="1:26" ht="16.5">
      <c r="A57" s="83"/>
      <c r="B57" s="132"/>
      <c r="C57" s="85"/>
      <c r="D57" s="86"/>
      <c r="E57" s="87"/>
      <c r="F57" s="87"/>
      <c r="G57" s="87"/>
      <c r="H57" s="88">
        <f>$AD$27</f>
        <v>1000</v>
      </c>
      <c r="J57" s="83"/>
      <c r="K57" s="125">
        <v>9</v>
      </c>
      <c r="L57" s="85"/>
      <c r="M57" s="86"/>
      <c r="N57" s="87"/>
      <c r="O57" s="87"/>
      <c r="P57" s="87"/>
      <c r="Q57" s="88">
        <f>$AD$27</f>
        <v>1000</v>
      </c>
      <c r="S57" s="133"/>
      <c r="T57" s="134"/>
      <c r="U57" s="133"/>
      <c r="V57" s="133"/>
      <c r="W57" s="133"/>
      <c r="X57" s="133"/>
      <c r="Y57" s="133"/>
      <c r="Z57" s="133"/>
    </row>
    <row r="58" spans="1:17" ht="16.5">
      <c r="A58" s="83"/>
      <c r="B58" s="135"/>
      <c r="C58" s="85"/>
      <c r="D58" s="86">
        <v>364</v>
      </c>
      <c r="E58" s="87">
        <f>$D58*Parameters!B$10+Parameters!B$8+Parameters!B$9</f>
        <v>3104</v>
      </c>
      <c r="F58" s="87">
        <f>$D58*Parameters!C$10+Parameters!C$8+Parameters!C$9</f>
        <v>505.3333333333333</v>
      </c>
      <c r="G58" s="87">
        <f>$D58*Parameters!D$10+Parameters!D$8+Parameters!D$9</f>
        <v>73.92592592592592</v>
      </c>
      <c r="H58" s="88"/>
      <c r="J58" s="83" t="s">
        <v>29</v>
      </c>
      <c r="K58" s="125"/>
      <c r="L58" s="127"/>
      <c r="M58" s="86"/>
      <c r="N58" s="87"/>
      <c r="O58" s="87"/>
      <c r="P58" s="87"/>
      <c r="Q58" s="88">
        <f>$AD$28</f>
        <v>3000</v>
      </c>
    </row>
    <row r="59" spans="1:17" ht="16.5">
      <c r="A59" s="83"/>
      <c r="B59" s="132"/>
      <c r="C59" s="85"/>
      <c r="D59" s="86"/>
      <c r="E59" s="87"/>
      <c r="F59" s="87"/>
      <c r="G59" s="87"/>
      <c r="H59" s="88">
        <f>$AD$27</f>
        <v>1000</v>
      </c>
      <c r="J59" s="83"/>
      <c r="K59" s="125"/>
      <c r="L59" s="85"/>
      <c r="M59" s="86"/>
      <c r="N59" s="87"/>
      <c r="O59" s="87"/>
      <c r="P59" s="87"/>
      <c r="Q59" s="88">
        <f>$AD$27</f>
        <v>1000</v>
      </c>
    </row>
    <row r="60" spans="1:17" ht="16.5">
      <c r="A60" s="83" t="s">
        <v>26</v>
      </c>
      <c r="B60" s="131"/>
      <c r="C60" s="85"/>
      <c r="D60" s="86">
        <v>364</v>
      </c>
      <c r="E60" s="87">
        <f>$D60*Parameters!B$10+Parameters!B$8+Parameters!B$9</f>
        <v>3104</v>
      </c>
      <c r="F60" s="87">
        <f>$D60*Parameters!C$10+Parameters!C$8+Parameters!C$9</f>
        <v>505.3333333333333</v>
      </c>
      <c r="G60" s="87">
        <f>$D60*Parameters!D$10+Parameters!D$8+Parameters!D$9</f>
        <v>73.92592592592592</v>
      </c>
      <c r="H60" s="88"/>
      <c r="J60" s="83"/>
      <c r="K60" s="128"/>
      <c r="L60" s="85"/>
      <c r="M60" s="86">
        <v>64</v>
      </c>
      <c r="N60" s="87">
        <f>$M60*Parameters!B$10+Parameters!B$8+Parameters!B$9</f>
        <v>704</v>
      </c>
      <c r="O60" s="87">
        <f>$M60*Parameters!C$10+Parameters!C$8+Parameters!C$9</f>
        <v>105.33333333333333</v>
      </c>
      <c r="P60" s="87">
        <f>$M60*Parameters!D$10+Parameters!D$8+Parameters!D$9</f>
        <v>29.48148148148148</v>
      </c>
      <c r="Q60" s="88"/>
    </row>
    <row r="61" spans="1:17" ht="16.5">
      <c r="A61" s="83"/>
      <c r="B61" s="132"/>
      <c r="C61" s="85"/>
      <c r="D61" s="86"/>
      <c r="E61" s="87"/>
      <c r="F61" s="87"/>
      <c r="G61" s="87"/>
      <c r="H61" s="88">
        <f>$AD$27</f>
        <v>1000</v>
      </c>
      <c r="J61" s="51"/>
      <c r="K61" s="57"/>
      <c r="L61" s="53"/>
      <c r="M61" s="53"/>
      <c r="N61" s="81"/>
      <c r="O61" s="81"/>
      <c r="P61" s="81"/>
      <c r="Q61" s="82"/>
    </row>
    <row r="62" spans="1:17" ht="16.5">
      <c r="A62" s="83"/>
      <c r="B62" s="132"/>
      <c r="C62" s="126"/>
      <c r="D62" s="86"/>
      <c r="E62" s="87"/>
      <c r="F62" s="87"/>
      <c r="G62" s="87"/>
      <c r="H62" s="88">
        <f>$AD$28</f>
        <v>3000</v>
      </c>
      <c r="J62" s="51"/>
      <c r="K62" s="57"/>
      <c r="L62" s="53"/>
      <c r="M62" s="53"/>
      <c r="N62" s="106">
        <f>SUM(N4:N61)</f>
        <v>33752</v>
      </c>
      <c r="O62" s="106">
        <f>SUM(O4:O61)</f>
        <v>5409.333333333331</v>
      </c>
      <c r="P62" s="106">
        <f>SUM(P4:P61)</f>
        <v>921.037037037037</v>
      </c>
      <c r="Q62" s="107">
        <f>SUM(Q4:Q61)</f>
        <v>61000</v>
      </c>
    </row>
    <row r="63" spans="1:17" ht="16.5">
      <c r="A63" s="83"/>
      <c r="B63" s="132">
        <v>11</v>
      </c>
      <c r="C63" s="85"/>
      <c r="D63" s="86"/>
      <c r="E63" s="87"/>
      <c r="F63" s="87"/>
      <c r="G63" s="87"/>
      <c r="H63" s="88">
        <f>$AD$27</f>
        <v>1000</v>
      </c>
      <c r="J63" s="51"/>
      <c r="K63" s="57"/>
      <c r="L63" s="53"/>
      <c r="M63" s="53"/>
      <c r="N63" s="106"/>
      <c r="O63" s="106"/>
      <c r="P63" s="106"/>
      <c r="Q63" s="107"/>
    </row>
    <row r="64" spans="1:17" ht="16.5">
      <c r="A64" s="83" t="s">
        <v>27</v>
      </c>
      <c r="B64" s="132"/>
      <c r="C64" s="127"/>
      <c r="D64" s="86"/>
      <c r="E64" s="87"/>
      <c r="F64" s="87"/>
      <c r="G64" s="87"/>
      <c r="H64" s="88">
        <f>$AD$28</f>
        <v>3000</v>
      </c>
      <c r="J64" s="108"/>
      <c r="K64" s="109"/>
      <c r="L64" s="110" t="s">
        <v>21</v>
      </c>
      <c r="M64" s="110"/>
      <c r="N64" s="111">
        <f>N62+$Q$62</f>
        <v>94752</v>
      </c>
      <c r="O64" s="111">
        <f>O62+$Q$62</f>
        <v>66409.33333333333</v>
      </c>
      <c r="P64" s="111">
        <f>P62+$Q$62</f>
        <v>61921.03703703704</v>
      </c>
      <c r="Q64" s="112"/>
    </row>
    <row r="65" spans="1:17" ht="16.5">
      <c r="A65" s="83"/>
      <c r="B65" s="132"/>
      <c r="C65" s="85"/>
      <c r="D65" s="86"/>
      <c r="E65" s="87"/>
      <c r="F65" s="87"/>
      <c r="G65" s="87"/>
      <c r="H65" s="88">
        <f>$AD$27</f>
        <v>1000</v>
      </c>
      <c r="J65" s="51"/>
      <c r="K65" s="57"/>
      <c r="L65" s="53"/>
      <c r="M65" s="53"/>
      <c r="N65" s="81"/>
      <c r="O65" s="81"/>
      <c r="P65" s="81"/>
      <c r="Q65" s="82"/>
    </row>
    <row r="66" spans="1:17" ht="16.5">
      <c r="A66" s="83"/>
      <c r="B66" s="135"/>
      <c r="C66" s="85"/>
      <c r="D66" s="86">
        <v>364</v>
      </c>
      <c r="E66" s="87">
        <f>$D66*Parameters!B$10+Parameters!B$8+Parameters!B$9</f>
        <v>3104</v>
      </c>
      <c r="F66" s="87">
        <f>$D66*Parameters!C$10+Parameters!C$8+Parameters!C$9</f>
        <v>505.3333333333333</v>
      </c>
      <c r="G66" s="87">
        <f>$D66*Parameters!D$10+Parameters!D$8+Parameters!D$9</f>
        <v>73.92592592592592</v>
      </c>
      <c r="H66" s="88"/>
      <c r="J66" s="51"/>
      <c r="K66" s="57"/>
      <c r="L66" s="53" t="s">
        <v>8</v>
      </c>
      <c r="M66" s="53"/>
      <c r="N66" s="81">
        <f>COUNTA(N4:N60)*(Parameters!B3+14*Parameters!B10+Parameters!B4+Parameters!B7)</f>
        <v>8676</v>
      </c>
      <c r="O66" s="81">
        <f>COUNTA(O4:O60)*(Parameters!C3+14*Parameters!C10+Parameters!C4+Parameters!C7)</f>
        <v>2451</v>
      </c>
      <c r="P66" s="81">
        <f>COUNTA(P4:P60)*(Parameters!D3+14*Parameters!D10+Parameters!D4+Parameters!D7)</f>
        <v>2152.3333333333335</v>
      </c>
      <c r="Q66" s="82"/>
    </row>
    <row r="67" spans="1:17" ht="18" thickBot="1">
      <c r="A67" s="83"/>
      <c r="B67" s="132"/>
      <c r="C67" s="85"/>
      <c r="D67" s="86"/>
      <c r="E67" s="87"/>
      <c r="F67" s="87"/>
      <c r="G67" s="87"/>
      <c r="H67" s="88">
        <f>$AD$27</f>
        <v>1000</v>
      </c>
      <c r="J67" s="113"/>
      <c r="K67" s="114"/>
      <c r="L67" s="115" t="s">
        <v>30</v>
      </c>
      <c r="M67" s="115"/>
      <c r="N67" s="116">
        <f>N62+N66</f>
        <v>42428</v>
      </c>
      <c r="O67" s="116">
        <f>O62+O66</f>
        <v>7860.333333333331</v>
      </c>
      <c r="P67" s="116">
        <f>P62+P66</f>
        <v>3073.3703703703704</v>
      </c>
      <c r="Q67" s="117"/>
    </row>
    <row r="68" spans="1:17" ht="16.5">
      <c r="A68" s="83" t="s">
        <v>31</v>
      </c>
      <c r="B68" s="131"/>
      <c r="C68" s="85"/>
      <c r="D68" s="86">
        <v>64</v>
      </c>
      <c r="E68" s="87">
        <f>$D68*Parameters!B$10+Parameters!B$8+Parameters!B$9</f>
        <v>704</v>
      </c>
      <c r="F68" s="87">
        <f>$D68*Parameters!C$10+Parameters!C$8+Parameters!C$9</f>
        <v>105.33333333333333</v>
      </c>
      <c r="G68" s="87">
        <f>$D68*Parameters!D$10+Parameters!D$8+Parameters!D$9</f>
        <v>29.48148148148148</v>
      </c>
      <c r="H68" s="88"/>
      <c r="O68" s="118"/>
      <c r="P68" s="118"/>
      <c r="Q68" s="118"/>
    </row>
    <row r="69" spans="1:8" ht="16.5">
      <c r="A69" s="83"/>
      <c r="B69" s="132"/>
      <c r="C69" s="85"/>
      <c r="D69" s="86"/>
      <c r="E69" s="87"/>
      <c r="F69" s="87"/>
      <c r="G69" s="87"/>
      <c r="H69" s="88">
        <f>$AD$27</f>
        <v>1000</v>
      </c>
    </row>
    <row r="70" spans="1:8" ht="16.5">
      <c r="A70" s="83"/>
      <c r="B70" s="132"/>
      <c r="C70" s="126"/>
      <c r="D70" s="86"/>
      <c r="E70" s="87"/>
      <c r="F70" s="87"/>
      <c r="G70" s="87"/>
      <c r="H70" s="88">
        <f>$AD$28</f>
        <v>3000</v>
      </c>
    </row>
    <row r="71" spans="1:8" ht="16.5">
      <c r="A71" s="83"/>
      <c r="B71" s="132">
        <v>12</v>
      </c>
      <c r="C71" s="85"/>
      <c r="D71" s="86"/>
      <c r="E71" s="87"/>
      <c r="F71" s="87"/>
      <c r="G71" s="87"/>
      <c r="H71" s="88">
        <f>$AD$27</f>
        <v>1000</v>
      </c>
    </row>
    <row r="72" spans="1:8" ht="16.5">
      <c r="A72" s="83" t="s">
        <v>32</v>
      </c>
      <c r="B72" s="132"/>
      <c r="C72" s="127"/>
      <c r="D72" s="86"/>
      <c r="E72" s="87"/>
      <c r="F72" s="87"/>
      <c r="G72" s="87"/>
      <c r="H72" s="88">
        <f>$AD$28</f>
        <v>3000</v>
      </c>
    </row>
    <row r="73" spans="1:8" ht="16.5">
      <c r="A73" s="83"/>
      <c r="B73" s="132"/>
      <c r="C73" s="85"/>
      <c r="D73" s="86"/>
      <c r="E73" s="87"/>
      <c r="F73" s="87"/>
      <c r="G73" s="87"/>
      <c r="H73" s="88">
        <f>$AD$27</f>
        <v>1000</v>
      </c>
    </row>
    <row r="74" spans="1:8" ht="16.5">
      <c r="A74" s="83"/>
      <c r="B74" s="135"/>
      <c r="C74" s="85"/>
      <c r="D74" s="86">
        <v>64</v>
      </c>
      <c r="E74" s="87">
        <f>$D74*Parameters!B$10+Parameters!B$8+Parameters!B$9</f>
        <v>704</v>
      </c>
      <c r="F74" s="87">
        <f>$D74*Parameters!C$10+Parameters!C$8+Parameters!C$9</f>
        <v>105.33333333333333</v>
      </c>
      <c r="G74" s="87">
        <f>$D74*Parameters!D$10+Parameters!D$8+Parameters!D$9</f>
        <v>29.48148148148148</v>
      </c>
      <c r="H74" s="88"/>
    </row>
    <row r="75" spans="1:8" ht="16.5">
      <c r="A75" s="51"/>
      <c r="B75" s="57"/>
      <c r="C75" s="53"/>
      <c r="D75" s="53"/>
      <c r="E75" s="81"/>
      <c r="F75" s="81"/>
      <c r="G75" s="81"/>
      <c r="H75" s="82"/>
    </row>
    <row r="76" spans="1:31" s="56" customFormat="1" ht="16.5">
      <c r="A76" s="51"/>
      <c r="B76" s="52"/>
      <c r="C76" s="53"/>
      <c r="D76" s="53"/>
      <c r="E76" s="106">
        <f>SUM(E4:E75)</f>
        <v>37664</v>
      </c>
      <c r="F76" s="106">
        <f>SUM(F4:F75)</f>
        <v>5989.333333333331</v>
      </c>
      <c r="G76" s="106">
        <f>SUM(G4:G75)</f>
        <v>1092.148148148148</v>
      </c>
      <c r="H76" s="107">
        <f>SUM(H4:H75)</f>
        <v>71000</v>
      </c>
      <c r="J76"/>
      <c r="K76" s="136"/>
      <c r="L76"/>
      <c r="M76"/>
      <c r="T76" s="129"/>
      <c r="AB76"/>
      <c r="AC76" s="15"/>
      <c r="AD76"/>
      <c r="AE76"/>
    </row>
    <row r="77" spans="1:31" s="56" customFormat="1" ht="16.5">
      <c r="A77" s="51"/>
      <c r="B77" s="52"/>
      <c r="C77" s="53"/>
      <c r="D77" s="53"/>
      <c r="E77" s="106"/>
      <c r="F77" s="106"/>
      <c r="G77" s="106"/>
      <c r="H77" s="107"/>
      <c r="J77"/>
      <c r="K77" s="136"/>
      <c r="L77"/>
      <c r="M77"/>
      <c r="T77" s="129"/>
      <c r="AB77"/>
      <c r="AC77" s="15"/>
      <c r="AD77"/>
      <c r="AE77"/>
    </row>
    <row r="78" spans="1:36" s="137" customFormat="1" ht="16.5">
      <c r="A78" s="108"/>
      <c r="B78" s="109"/>
      <c r="C78" s="110" t="s">
        <v>6</v>
      </c>
      <c r="D78" s="110"/>
      <c r="E78" s="111">
        <f>E76+$H$76</f>
        <v>108664</v>
      </c>
      <c r="F78" s="111">
        <f>F76+$H$76</f>
        <v>76989.33333333333</v>
      </c>
      <c r="G78" s="111">
        <f>G76+$H$76</f>
        <v>72092.14814814815</v>
      </c>
      <c r="H78" s="112"/>
      <c r="I78" s="133"/>
      <c r="J78"/>
      <c r="K78" s="136"/>
      <c r="L78"/>
      <c r="M78"/>
      <c r="N78" s="56"/>
      <c r="O78" s="56"/>
      <c r="P78" s="56"/>
      <c r="Q78" s="56"/>
      <c r="R78" s="133"/>
      <c r="S78" s="56"/>
      <c r="T78" s="129"/>
      <c r="U78" s="56"/>
      <c r="V78" s="56"/>
      <c r="W78" s="56"/>
      <c r="X78" s="56"/>
      <c r="Y78" s="56"/>
      <c r="Z78" s="56"/>
      <c r="AA78" s="133"/>
      <c r="AB78"/>
      <c r="AC78" s="15"/>
      <c r="AD78"/>
      <c r="AE78"/>
      <c r="AF78" s="56"/>
      <c r="AG78" s="56"/>
      <c r="AH78" s="56"/>
      <c r="AI78" s="56"/>
      <c r="AJ78" s="133"/>
    </row>
    <row r="79" spans="1:8" ht="16.5">
      <c r="A79" s="51"/>
      <c r="B79" s="52"/>
      <c r="C79" s="53"/>
      <c r="D79" s="53"/>
      <c r="E79" s="81"/>
      <c r="F79" s="81"/>
      <c r="G79" s="81"/>
      <c r="H79" s="82"/>
    </row>
    <row r="80" spans="1:8" ht="16.5">
      <c r="A80" s="51"/>
      <c r="B80" s="52"/>
      <c r="C80" s="53" t="s">
        <v>8</v>
      </c>
      <c r="D80" s="53"/>
      <c r="E80" s="81">
        <f>COUNTA(E4:E74)*(Parameters!$B$3+14*Parameters!$B$10+Parameters!$B$4+Parameters!$B$7)</f>
        <v>11568</v>
      </c>
      <c r="F80" s="81">
        <f>COUNTA(F4:F74)*(Parameters!$C$3+14*Parameters!$C$10+Parameters!$C$4+Parameters!$C$7)</f>
        <v>3268</v>
      </c>
      <c r="G80" s="81">
        <f>COUNTA(G4:G74)*(Parameters!D$3+14*Parameters!D$10+Parameters!D$4+Parameters!D$7)</f>
        <v>2869.777777777778</v>
      </c>
      <c r="H80" s="82"/>
    </row>
    <row r="81" spans="1:36" s="137" customFormat="1" ht="18" thickBot="1">
      <c r="A81" s="113"/>
      <c r="B81" s="114"/>
      <c r="C81" s="115" t="s">
        <v>116</v>
      </c>
      <c r="D81" s="115"/>
      <c r="E81" s="116">
        <f>E76+E80</f>
        <v>49232</v>
      </c>
      <c r="F81" s="116">
        <f>F76+F80</f>
        <v>9257.333333333332</v>
      </c>
      <c r="G81" s="116">
        <f>G76+G80</f>
        <v>3961.925925925926</v>
      </c>
      <c r="H81" s="117"/>
      <c r="I81" s="133"/>
      <c r="J81"/>
      <c r="K81" s="136"/>
      <c r="L81"/>
      <c r="M81"/>
      <c r="N81" s="56"/>
      <c r="O81" s="56"/>
      <c r="P81" s="56"/>
      <c r="Q81" s="56"/>
      <c r="R81" s="133"/>
      <c r="S81" s="56"/>
      <c r="T81" s="129"/>
      <c r="U81" s="56"/>
      <c r="V81" s="56"/>
      <c r="W81" s="56"/>
      <c r="X81" s="56"/>
      <c r="Y81" s="56"/>
      <c r="Z81" s="56"/>
      <c r="AA81" s="133"/>
      <c r="AB81"/>
      <c r="AC81" s="15"/>
      <c r="AD81"/>
      <c r="AE81"/>
      <c r="AF81" s="56"/>
      <c r="AG81" s="56"/>
      <c r="AH81" s="56"/>
      <c r="AI81" s="56"/>
      <c r="AJ81" s="133"/>
    </row>
    <row r="82" spans="6:8" ht="16.5">
      <c r="F82" s="118"/>
      <c r="G82" s="118"/>
      <c r="H82" s="118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2"/>
  <sheetViews>
    <sheetView zoomScale="150" zoomScaleNormal="150" workbookViewId="0" topLeftCell="A4">
      <selection activeCell="F14" sqref="F14"/>
    </sheetView>
  </sheetViews>
  <sheetFormatPr defaultColWidth="13.7109375" defaultRowHeight="12.75"/>
  <cols>
    <col min="2" max="2" width="28.421875" style="0" customWidth="1"/>
    <col min="3" max="9" width="9.421875" style="0" customWidth="1"/>
  </cols>
  <sheetData>
    <row r="1" ht="12.75" thickBot="1"/>
    <row r="2" spans="2:5" s="15" customFormat="1" ht="18" thickBot="1">
      <c r="B2" s="138" t="s">
        <v>21</v>
      </c>
      <c r="C2" s="139" t="s">
        <v>33</v>
      </c>
      <c r="D2" s="139" t="s">
        <v>34</v>
      </c>
      <c r="E2" s="140" t="s">
        <v>35</v>
      </c>
    </row>
    <row r="3" spans="2:5" ht="12">
      <c r="B3" s="141" t="s">
        <v>36</v>
      </c>
      <c r="C3" s="142">
        <f>Chart!E78</f>
        <v>108664</v>
      </c>
      <c r="D3" s="142">
        <f>Chart!F78</f>
        <v>76989.33333333333</v>
      </c>
      <c r="E3" s="143">
        <f>Chart!G78</f>
        <v>72092.14814814815</v>
      </c>
    </row>
    <row r="4" spans="2:5" ht="12">
      <c r="B4" s="144" t="s">
        <v>37</v>
      </c>
      <c r="C4" s="145">
        <f>Chart!N64</f>
        <v>94752</v>
      </c>
      <c r="D4" s="145">
        <f>Chart!O64</f>
        <v>66409.33333333333</v>
      </c>
      <c r="E4" s="146">
        <f>Chart!P64</f>
        <v>61921.03703703704</v>
      </c>
    </row>
    <row r="5" spans="2:5" ht="12">
      <c r="B5" s="147" t="s">
        <v>38</v>
      </c>
      <c r="C5" s="148">
        <f>Chart!W40</f>
        <v>59976</v>
      </c>
      <c r="D5" s="148">
        <f>Chart!X40</f>
        <v>35685.33333333333</v>
      </c>
      <c r="E5" s="149">
        <f>Chart!Y40</f>
        <v>31733.925925925927</v>
      </c>
    </row>
    <row r="6" spans="2:5" ht="12.75" thickBot="1">
      <c r="B6" s="150" t="s">
        <v>39</v>
      </c>
      <c r="C6" s="151">
        <f>Chart!AF21</f>
        <v>38096</v>
      </c>
      <c r="D6" s="151">
        <f>Chart!AG21</f>
        <v>17122.666666666664</v>
      </c>
      <c r="E6" s="152">
        <f>Chart!AH21</f>
        <v>13546.962962962964</v>
      </c>
    </row>
    <row r="8" ht="12.75" thickBot="1"/>
    <row r="9" spans="2:5" s="15" customFormat="1" ht="18" thickBot="1">
      <c r="B9" s="138" t="s">
        <v>116</v>
      </c>
      <c r="C9" s="139" t="s">
        <v>33</v>
      </c>
      <c r="D9" s="139" t="s">
        <v>34</v>
      </c>
      <c r="E9" s="140" t="s">
        <v>35</v>
      </c>
    </row>
    <row r="10" spans="2:5" ht="12">
      <c r="B10" s="141" t="s">
        <v>40</v>
      </c>
      <c r="C10" s="142">
        <f>Chart!E81</f>
        <v>49232</v>
      </c>
      <c r="D10" s="142">
        <f>Chart!F81</f>
        <v>9257.333333333332</v>
      </c>
      <c r="E10" s="143">
        <f>Chart!G81</f>
        <v>3961.925925925926</v>
      </c>
    </row>
    <row r="11" spans="2:5" ht="12">
      <c r="B11" s="144" t="s">
        <v>37</v>
      </c>
      <c r="C11" s="145">
        <f>Chart!N67</f>
        <v>42428</v>
      </c>
      <c r="D11" s="145">
        <f>Chart!O67</f>
        <v>7860.333333333331</v>
      </c>
      <c r="E11" s="146">
        <f>Chart!P67</f>
        <v>3073.3703703703704</v>
      </c>
    </row>
    <row r="12" spans="2:5" ht="12">
      <c r="B12" s="147" t="s">
        <v>38</v>
      </c>
      <c r="C12" s="148">
        <f>Chart!W43</f>
        <v>34760</v>
      </c>
      <c r="D12" s="148">
        <f>Chart!X43</f>
        <v>6319.333333333332</v>
      </c>
      <c r="E12" s="149">
        <f>Chart!Y43</f>
        <v>2168.814814814815</v>
      </c>
    </row>
    <row r="13" spans="2:5" ht="12.75" thickBot="1">
      <c r="B13" s="150" t="s">
        <v>39</v>
      </c>
      <c r="C13" s="151">
        <f>Chart!AF24</f>
        <v>27506</v>
      </c>
      <c r="D13" s="151">
        <f>Chart!AG24</f>
        <v>4803.499999999999</v>
      </c>
      <c r="E13" s="152">
        <f>Chart!AH24</f>
        <v>1144.8333333333335</v>
      </c>
    </row>
    <row r="16" ht="12.75" thickBot="1"/>
    <row r="17" spans="2:9" ht="16.5">
      <c r="B17" s="153" t="s">
        <v>41</v>
      </c>
      <c r="C17" s="154" t="s">
        <v>0</v>
      </c>
      <c r="D17" s="155" t="s">
        <v>21</v>
      </c>
      <c r="E17" s="156"/>
      <c r="F17" s="157"/>
      <c r="G17" s="155" t="s">
        <v>116</v>
      </c>
      <c r="H17" s="156"/>
      <c r="I17" s="157"/>
    </row>
    <row r="18" spans="2:9" ht="12.75" thickBot="1">
      <c r="B18" s="158"/>
      <c r="C18" s="159"/>
      <c r="D18" s="160" t="str">
        <f aca="true" t="shared" si="0" ref="D18:F22">C2</f>
        <v>DS1</v>
      </c>
      <c r="E18" s="161" t="str">
        <f t="shared" si="0"/>
        <v>OFDM6</v>
      </c>
      <c r="F18" s="162" t="str">
        <f t="shared" si="0"/>
        <v>OFDM54</v>
      </c>
      <c r="G18" s="160" t="str">
        <f aca="true" t="shared" si="1" ref="G18:I22">C9</f>
        <v>DS1</v>
      </c>
      <c r="H18" s="161" t="str">
        <f t="shared" si="1"/>
        <v>OFDM6</v>
      </c>
      <c r="I18" s="162" t="str">
        <f t="shared" si="1"/>
        <v>OFDM54</v>
      </c>
    </row>
    <row r="19" spans="2:9" ht="12">
      <c r="B19" s="163" t="s">
        <v>40</v>
      </c>
      <c r="C19" s="51">
        <v>12</v>
      </c>
      <c r="D19" s="164">
        <f t="shared" si="0"/>
        <v>108664</v>
      </c>
      <c r="E19" s="165">
        <f t="shared" si="0"/>
        <v>76989.33333333333</v>
      </c>
      <c r="F19" s="166">
        <f t="shared" si="0"/>
        <v>72092.14814814815</v>
      </c>
      <c r="G19" s="164">
        <f t="shared" si="1"/>
        <v>49232</v>
      </c>
      <c r="H19" s="165">
        <f t="shared" si="1"/>
        <v>9257.333333333332</v>
      </c>
      <c r="I19" s="166">
        <f t="shared" si="1"/>
        <v>3961.925925925926</v>
      </c>
    </row>
    <row r="20" spans="2:9" ht="12">
      <c r="B20" s="167" t="s">
        <v>37</v>
      </c>
      <c r="C20" s="51">
        <v>9</v>
      </c>
      <c r="D20" s="164">
        <f t="shared" si="0"/>
        <v>94752</v>
      </c>
      <c r="E20" s="165">
        <f t="shared" si="0"/>
        <v>66409.33333333333</v>
      </c>
      <c r="F20" s="166">
        <f t="shared" si="0"/>
        <v>61921.03703703704</v>
      </c>
      <c r="G20" s="164">
        <f t="shared" si="1"/>
        <v>42428</v>
      </c>
      <c r="H20" s="165">
        <f t="shared" si="1"/>
        <v>7860.333333333331</v>
      </c>
      <c r="I20" s="166">
        <f t="shared" si="1"/>
        <v>3073.3703703703704</v>
      </c>
    </row>
    <row r="21" spans="2:9" ht="12">
      <c r="B21" s="168" t="s">
        <v>38</v>
      </c>
      <c r="C21" s="51">
        <v>6</v>
      </c>
      <c r="D21" s="164">
        <f t="shared" si="0"/>
        <v>59976</v>
      </c>
      <c r="E21" s="165">
        <f t="shared" si="0"/>
        <v>35685.33333333333</v>
      </c>
      <c r="F21" s="166">
        <f t="shared" si="0"/>
        <v>31733.925925925927</v>
      </c>
      <c r="G21" s="164">
        <f t="shared" si="1"/>
        <v>34760</v>
      </c>
      <c r="H21" s="165">
        <f t="shared" si="1"/>
        <v>6319.333333333332</v>
      </c>
      <c r="I21" s="166">
        <f t="shared" si="1"/>
        <v>2168.814814814815</v>
      </c>
    </row>
    <row r="22" spans="2:9" ht="12.75" thickBot="1">
      <c r="B22" s="169" t="s">
        <v>39</v>
      </c>
      <c r="C22" s="170">
        <v>2.5</v>
      </c>
      <c r="D22" s="171">
        <f t="shared" si="0"/>
        <v>38096</v>
      </c>
      <c r="E22" s="172">
        <f t="shared" si="0"/>
        <v>17122.666666666664</v>
      </c>
      <c r="F22" s="173">
        <f t="shared" si="0"/>
        <v>13546.962962962964</v>
      </c>
      <c r="G22" s="171">
        <f t="shared" si="1"/>
        <v>27506</v>
      </c>
      <c r="H22" s="172">
        <f t="shared" si="1"/>
        <v>4803.499999999999</v>
      </c>
      <c r="I22" s="173">
        <f t="shared" si="1"/>
        <v>1144.8333333333335</v>
      </c>
    </row>
  </sheetData>
  <mergeCells count="4">
    <mergeCell ref="B17:B18"/>
    <mergeCell ref="C17:C18"/>
    <mergeCell ref="D17:F17"/>
    <mergeCell ref="G17:I17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ROOT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Morioka</dc:creator>
  <cp:keywords/>
  <dc:description/>
  <cp:lastModifiedBy>Morioka Hitoshi</cp:lastModifiedBy>
  <cp:lastPrinted>2004-11-19T06:33:11Z</cp:lastPrinted>
  <dcterms:created xsi:type="dcterms:W3CDTF">2004-07-14T16:37:20Z</dcterms:created>
  <dcterms:modified xsi:type="dcterms:W3CDTF">2010-08-17T02:57:42Z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