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'Comments'!$A$1:$AB$13</definedName>
  </definedNames>
  <calcPr fullCalcOnLoad="1"/>
</workbook>
</file>

<file path=xl/sharedStrings.xml><?xml version="1.0" encoding="utf-8"?>
<sst xmlns="http://schemas.openxmlformats.org/spreadsheetml/2006/main" count="374" uniqueCount="247">
  <si>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</si>
  <si>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</si>
  <si>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discussed this and a submission is needed to possibly rename the category of "self-protected" to something else. However this is not essential at this stage of the draft.</t>
  </si>
  <si>
    <t>this was discussed and a submission is required to retain the functionality the RSNIE provides without using the RSNIE. Since this is not critical at this stage of the draft the comment is rejected in anticipation of it being remade during the next balloting.</t>
  </si>
  <si>
    <t>using an AS can be secure but it is difficult and complicated. This clause specifies that a PMK between mesh STAs is needed but does not specify how that PMK is obtained. It could be from an AS which is beyond the scope of this standard.</t>
  </si>
  <si>
    <t>It is a good idea to have a backup but there is no clear candidate to become the backup.</t>
  </si>
  <si>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</si>
  <si>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</si>
  <si>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</si>
  <si>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</si>
  <si>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</si>
  <si>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</si>
  <si>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</si>
  <si>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</si>
  <si>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</si>
  <si>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</si>
  <si>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</si>
  <si>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</si>
  <si>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</si>
  <si>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</si>
  <si>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</si>
  <si>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</si>
  <si>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</si>
  <si>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</si>
  <si>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</si>
  <si>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</si>
  <si>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</si>
  <si>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</si>
  <si>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</si>
  <si>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</si>
  <si>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</si>
  <si>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</si>
  <si>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</si>
  <si>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</si>
  <si>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</si>
  <si>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</si>
  <si>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</si>
  <si>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</si>
  <si>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</si>
  <si>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</si>
  <si>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</si>
  <si>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</si>
  <si>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</si>
  <si>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</si>
  <si>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</si>
  <si>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</si>
  <si>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</si>
  <si>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</si>
  <si>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</si>
  <si>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</si>
  <si>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</si>
  <si>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</si>
  <si>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</si>
  <si>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</si>
  <si>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</si>
  <si>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</si>
  <si>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</si>
  <si>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</si>
  <si>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</si>
  <si>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</si>
  <si>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</si>
  <si>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</si>
  <si>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</si>
  <si>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</si>
  <si>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</si>
  <si>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</si>
  <si>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</si>
  <si>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</si>
  <si>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</si>
  <si>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</si>
  <si>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</si>
  <si>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</si>
  <si>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</si>
  <si>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</si>
  <si>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9</t>
  </si>
  <si>
    <t>38</t>
  </si>
  <si>
    <t>8</t>
  </si>
  <si>
    <t>1</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</si>
  <si>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</si>
  <si>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21</t>
  </si>
  <si>
    <t>16</t>
  </si>
  <si>
    <t>7.4.14</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</si>
  <si>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</si>
  <si>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 the type of authentication protocol..." should read "... the type of mesh peering protocol...".</t>
  </si>
  <si>
    <t>"Authenticator, or peer, MAC address" should read "Authenticator's or peer's MAC address</t>
  </si>
  <si>
    <t>Security</t>
  </si>
  <si>
    <t>M-QoS</t>
  </si>
  <si>
    <t>QoS related issues</t>
  </si>
  <si>
    <t>April 2010</t>
  </si>
  <si>
    <t>LB 161 Comment Resolutions</t>
  </si>
  <si>
    <t>Compilation of comments gathered through LB161.
Preliminary Topic Category and Issue Identifier are put in column M and column N of "Comments" sheet.</t>
  </si>
  <si>
    <t>2010-04-22</t>
  </si>
  <si>
    <t>67-72</t>
  </si>
  <si>
    <t>7-42</t>
  </si>
  <si>
    <t>Samsung Electronics</t>
  </si>
  <si>
    <t>Aruba Networks</t>
  </si>
  <si>
    <t>11C.5.5.2</t>
  </si>
  <si>
    <t>15-27</t>
  </si>
  <si>
    <t>Research In Motion</t>
  </si>
  <si>
    <t>5.4.3.1</t>
  </si>
  <si>
    <t>8.5.1.5.1</t>
  </si>
  <si>
    <t>8.5.1.5.3</t>
  </si>
  <si>
    <t>Sony Corporation</t>
  </si>
  <si>
    <t>7.3.2.96.7</t>
  </si>
  <si>
    <t>8.2a</t>
  </si>
  <si>
    <t>8.4.1.1.1</t>
  </si>
  <si>
    <t>11C.5</t>
  </si>
  <si>
    <t>get rid of the RSN IE from AMPE.</t>
  </si>
  <si>
    <t>Pre-shared password is between two mesh STA or among mesh STAs with the same mesh-ID? How the pre-shared password distributed?</t>
  </si>
  <si>
    <t>Please clarify or just say 'beyond the scope of this specification'</t>
  </si>
  <si>
    <t>Should the PMK shows as MPMK in figure 8.22a</t>
  </si>
  <si>
    <t>Should the PMK be called MPMK?</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</si>
  <si>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</si>
  <si>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</si>
  <si>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R-MeshGate</t>
  </si>
  <si>
    <t>R-Frame</t>
  </si>
  <si>
    <t>S-Frame</t>
  </si>
  <si>
    <t>S-General</t>
  </si>
  <si>
    <t>S-Editorial</t>
  </si>
  <si>
    <t>assignee</t>
  </si>
  <si>
    <t>resolved</t>
  </si>
  <si>
    <t>remaining</t>
  </si>
  <si>
    <t>"Open System Authentication and Deauthentication shall not be used between mesh STAs." Ambiguous</t>
  </si>
  <si>
    <t>"Open System Authentication and Open System Deauthentication shall not be used between mesh STAs."</t>
  </si>
  <si>
    <t>23</t>
  </si>
  <si>
    <t>15</t>
  </si>
  <si>
    <t>Chaplin, Clint</t>
  </si>
  <si>
    <t>Harkins, Dan</t>
  </si>
  <si>
    <t>Purnadi, Rene</t>
  </si>
  <si>
    <t>Sakoda, Kazuyuki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</si>
  <si>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</si>
  <si>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</si>
  <si>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</si>
  <si>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</si>
  <si>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</si>
  <si>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</si>
  <si>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</si>
  <si>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</si>
  <si>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</si>
  <si>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</si>
  <si>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</si>
  <si>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</si>
  <si>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</si>
  <si>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</si>
  <si>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</si>
  <si>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</si>
  <si>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</si>
  <si>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</si>
  <si>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</si>
  <si>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</si>
  <si>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</si>
  <si>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</si>
  <si>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</si>
  <si>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</si>
  <si>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</si>
  <si>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</si>
  <si>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</si>
  <si>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</si>
  <si>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</si>
  <si>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</si>
  <si>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</si>
  <si>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</si>
  <si>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</si>
  <si>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</si>
  <si>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</si>
  <si>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</si>
  <si>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</si>
  <si>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</si>
  <si>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</si>
  <si>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</si>
  <si>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</si>
  <si>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</si>
  <si>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</si>
  <si>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</si>
  <si>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</si>
  <si>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</si>
  <si>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</si>
  <si>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</si>
  <si>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</si>
  <si>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</si>
  <si>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</si>
  <si>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</si>
  <si>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</si>
  <si>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</si>
  <si>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</si>
  <si>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</si>
  <si>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</si>
  <si>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</si>
  <si>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</si>
  <si>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</si>
  <si>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</si>
  <si>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</si>
  <si>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</si>
  <si>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</si>
  <si>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</si>
  <si>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</si>
  <si>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</si>
  <si>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</si>
  <si>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</si>
  <si>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</si>
  <si>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</si>
  <si>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</si>
  <si>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</si>
  <si>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</si>
  <si>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</si>
  <si>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</si>
  <si>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</si>
  <si>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</si>
  <si>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</si>
  <si>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</si>
  <si>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</si>
  <si>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</si>
  <si>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</si>
  <si>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</si>
  <si>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</si>
  <si>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</si>
  <si>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</si>
  <si>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</si>
  <si>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</si>
  <si>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make the specification of self-protection similar to Public and Robust action frames.
Rename category to Mesh Peering.
I will try to make a strong enough case that a self-protected action frame is a new security level.</t>
  </si>
  <si>
    <t>As in comment.</t>
  </si>
  <si>
    <t>5.2.13.5.3</t>
  </si>
  <si>
    <t>Please clarify</t>
  </si>
  <si>
    <t>35</t>
  </si>
  <si>
    <t>r1</t>
  </si>
  <si>
    <t>doc.: IEEE 802.11-10/0478r1</t>
  </si>
  <si>
    <t>Suggested resolutions marked with "20100422G-Editor" in column X of "Comments" sheet are incorporated. Some of the Topic Category and Issue Identifier are changed.</t>
  </si>
  <si>
    <t>TGs draft D5.0 does not define any means to use AS (Authentication Server) that provides the authorization upon successful authentication.</t>
  </si>
  <si>
    <t>Discuss if it is a reasonable way to go.</t>
  </si>
  <si>
    <t>N</t>
  </si>
  <si>
    <t>Y</t>
  </si>
  <si>
    <t>T</t>
  </si>
  <si>
    <t>Security</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</si>
  <si>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</si>
  <si>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</si>
  <si>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</si>
  <si>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</si>
  <si>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</si>
  <si>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</si>
  <si>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</si>
  <si>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</si>
  <si>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</si>
  <si>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Submitter Affiliation</t>
  </si>
  <si>
    <t>Siemens AG</t>
  </si>
  <si>
    <t>x</t>
  </si>
  <si>
    <t>resolved with 11-10/0632</t>
  </si>
  <si>
    <t>mention of distribution being out-of-scope will be made in the definiton of a password in clause 3 (similar to that done for PSK). Resolved with 11-10/0632.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</si>
</sst>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quot;월&quot;\ dd&quot;일&quot;"/>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yyyy\-mm\-dd;@"/>
    <numFmt numFmtId="191" formatCode="mmm\-yyyy"/>
    <numFmt numFmtId="192" formatCode="mm/dd/yy;@"/>
    <numFmt numFmtId="193" formatCode="m/d/yy;@"/>
    <numFmt numFmtId="194" formatCode="mm/dd/yy"/>
    <numFmt numFmtId="195" formatCode="0_);[Red]\(0\)"/>
    <numFmt numFmtId="196" formatCode="0_ "/>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5" fillId="0" borderId="0" applyNumberFormat="0" applyFill="0" applyBorder="0" applyAlignment="0" applyProtection="0"/>
    <xf numFmtId="0" fontId="21"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0" applyNumberFormat="1" applyAlignment="1" applyProtection="1">
      <alignment/>
      <protection/>
    </xf>
    <xf numFmtId="49" fontId="1" fillId="0" borderId="0" xfId="0" applyNumberFormat="1" applyFont="1" applyAlignment="1">
      <alignment/>
    </xf>
    <xf numFmtId="0" fontId="0" fillId="0" borderId="0" xfId="0" applyAlignment="1">
      <alignment wrapText="1"/>
    </xf>
    <xf numFmtId="190" fontId="0" fillId="0" borderId="0" xfId="0" applyNumberFormat="1" applyAlignment="1">
      <alignment/>
    </xf>
    <xf numFmtId="0" fontId="4" fillId="0" borderId="0" xfId="0" applyFont="1" applyAlignment="1">
      <alignment horizontal="center"/>
    </xf>
    <xf numFmtId="190"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194" fontId="7" fillId="0" borderId="25" xfId="0" applyNumberFormat="1" applyFont="1" applyFill="1" applyBorder="1" applyAlignment="1" applyProtection="1">
      <alignment vertical="top" wrapText="1"/>
      <protection/>
    </xf>
    <xf numFmtId="194" fontId="0" fillId="0" borderId="0" xfId="0" applyNumberFormat="1" applyAlignment="1">
      <alignment vertical="top" wrapText="1"/>
    </xf>
    <xf numFmtId="0" fontId="0" fillId="0" borderId="0" xfId="0" applyNumberFormat="1" applyBorder="1" applyAlignment="1">
      <alignment/>
    </xf>
    <xf numFmtId="0" fontId="5" fillId="0" borderId="0" xfId="50"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26" xfId="0"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13</xdr:row>
      <xdr:rowOff>0</xdr:rowOff>
    </xdr:from>
    <xdr:ext cx="0" cy="0"/>
    <xdr:sp>
      <xdr:nvSpPr>
        <xdr:cNvPr id="1" name="Picture 1"/>
        <xdr:cNvSpPr>
          <a:spLocks noChangeAspect="1"/>
        </xdr:cNvSpPr>
      </xdr:nvSpPr>
      <xdr:spPr>
        <a:xfrm>
          <a:off x="15840075" y="134493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13</xdr:row>
      <xdr:rowOff>0</xdr:rowOff>
    </xdr:from>
    <xdr:ext cx="0" cy="0"/>
    <xdr:sp>
      <xdr:nvSpPr>
        <xdr:cNvPr id="2" name="Picture 1"/>
        <xdr:cNvSpPr>
          <a:spLocks noChangeAspect="1"/>
        </xdr:cNvSpPr>
      </xdr:nvSpPr>
      <xdr:spPr>
        <a:xfrm>
          <a:off x="15840075" y="134493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37</v>
      </c>
    </row>
    <row r="2" ht="18.75">
      <c r="B2" s="1" t="s">
        <v>35</v>
      </c>
    </row>
    <row r="3" spans="1:2" ht="18.75">
      <c r="A3" s="2" t="s">
        <v>31</v>
      </c>
      <c r="B3" s="1" t="s">
        <v>225</v>
      </c>
    </row>
    <row r="4" spans="1:6" ht="18.75">
      <c r="A4" s="2" t="s">
        <v>36</v>
      </c>
      <c r="B4" s="11" t="s">
        <v>88</v>
      </c>
      <c r="F4" s="7"/>
    </row>
    <row r="5" spans="1:2" ht="15.75">
      <c r="A5" s="2" t="s">
        <v>41</v>
      </c>
      <c r="B5" s="8" t="s">
        <v>134</v>
      </c>
    </row>
    <row r="6" s="3" customFormat="1" ht="16.5" thickBot="1"/>
    <row r="7" spans="1:2" s="4" customFormat="1" ht="18.75">
      <c r="A7" s="4" t="s">
        <v>39</v>
      </c>
      <c r="B7" s="9" t="s">
        <v>89</v>
      </c>
    </row>
    <row r="8" spans="1:2" ht="15.75">
      <c r="A8" s="2" t="s">
        <v>193</v>
      </c>
      <c r="B8" s="8" t="s">
        <v>91</v>
      </c>
    </row>
    <row r="9" spans="1:9" ht="15.75">
      <c r="A9" s="2" t="s">
        <v>40</v>
      </c>
      <c r="B9" s="2" t="s">
        <v>167</v>
      </c>
      <c r="C9" s="8"/>
      <c r="E9" s="8"/>
      <c r="F9" s="8"/>
      <c r="G9" s="8"/>
      <c r="H9" s="8"/>
      <c r="I9" s="8"/>
    </row>
    <row r="10" spans="2:9" ht="15.75">
      <c r="B10" s="2" t="s">
        <v>168</v>
      </c>
      <c r="C10" s="8"/>
      <c r="E10" s="8"/>
      <c r="F10" s="8"/>
      <c r="G10" s="8"/>
      <c r="H10" s="8"/>
      <c r="I10" s="8"/>
    </row>
    <row r="11" spans="2:9" ht="15.75">
      <c r="B11" s="2" t="s">
        <v>169</v>
      </c>
      <c r="C11" s="8"/>
      <c r="E11" s="8"/>
      <c r="F11" s="8"/>
      <c r="G11" s="8"/>
      <c r="H11" s="8"/>
      <c r="I11" s="8"/>
    </row>
    <row r="12" spans="2:9" ht="15.75">
      <c r="B12" s="2" t="s">
        <v>170</v>
      </c>
      <c r="C12" s="8"/>
      <c r="E12" s="8"/>
      <c r="F12" s="8"/>
      <c r="G12" s="8"/>
      <c r="H12" s="8"/>
      <c r="I12" s="8"/>
    </row>
    <row r="13" spans="2:9" ht="15.75">
      <c r="B13" s="61" t="s">
        <v>135</v>
      </c>
      <c r="C13" s="10"/>
      <c r="E13" s="8"/>
      <c r="F13" s="8"/>
      <c r="G13" s="8"/>
      <c r="H13" s="8"/>
      <c r="I13" s="8"/>
    </row>
    <row r="14" spans="3:9" ht="15.75">
      <c r="C14" s="8"/>
      <c r="D14" s="8"/>
      <c r="E14" s="8"/>
      <c r="F14" s="8"/>
      <c r="G14" s="8"/>
      <c r="H14" s="8"/>
      <c r="I14" s="8"/>
    </row>
    <row r="15" ht="15.75">
      <c r="A15" s="2" t="s">
        <v>38</v>
      </c>
    </row>
    <row r="27" spans="1:5" ht="15.75" customHeight="1">
      <c r="A27" s="6"/>
      <c r="B27" s="80"/>
      <c r="C27" s="80"/>
      <c r="D27" s="80"/>
      <c r="E27" s="80"/>
    </row>
    <row r="28" spans="1:5" ht="15.75" customHeight="1">
      <c r="A28" s="4"/>
      <c r="B28" s="5"/>
      <c r="C28" s="5"/>
      <c r="D28" s="5"/>
      <c r="E28" s="5"/>
    </row>
    <row r="29" spans="1:5" ht="15.75" customHeight="1">
      <c r="A29" s="4"/>
      <c r="B29" s="79"/>
      <c r="C29" s="79"/>
      <c r="D29" s="79"/>
      <c r="E29" s="79"/>
    </row>
    <row r="30" spans="1:5" ht="15.75" customHeight="1">
      <c r="A30" s="4"/>
      <c r="B30" s="5"/>
      <c r="C30" s="5"/>
      <c r="D30" s="5"/>
      <c r="E30" s="5"/>
    </row>
    <row r="31" spans="1:5" ht="15.75" customHeight="1">
      <c r="A31" s="4"/>
      <c r="B31" s="79"/>
      <c r="C31" s="79"/>
      <c r="D31" s="79"/>
      <c r="E31" s="79"/>
    </row>
    <row r="32" spans="2:5" ht="15.75" customHeight="1">
      <c r="B32" s="79"/>
      <c r="C32" s="79"/>
      <c r="D32" s="79"/>
      <c r="E32" s="7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3"/>
  <sheetViews>
    <sheetView tabSelected="1" zoomScale="85" zoomScaleNormal="85" zoomScalePageLayoutView="0" workbookViewId="0" topLeftCell="A1">
      <pane xSplit="8" ySplit="1" topLeftCell="M2" activePane="bottomRight" state="frozen"/>
      <selection pane="topLeft" activeCell="A1" sqref="A1"/>
      <selection pane="topRight" activeCell="H1" sqref="H1"/>
      <selection pane="bottomLeft" activeCell="A2" sqref="A2"/>
      <selection pane="bottomRight" activeCell="W9" sqref="W9"/>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6" hidden="1" customWidth="1"/>
    <col min="6" max="6" width="8.7109375" style="76" hidden="1" customWidth="1"/>
    <col min="7" max="7" width="9.28125" style="45" hidden="1" customWidth="1"/>
    <col min="8" max="8" width="6.421875" style="45" hidden="1"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42</v>
      </c>
      <c r="B1" s="51" t="s">
        <v>151</v>
      </c>
      <c r="C1" s="51" t="s">
        <v>242</v>
      </c>
      <c r="D1" s="52" t="s">
        <v>179</v>
      </c>
      <c r="E1" s="52" t="s">
        <v>57</v>
      </c>
      <c r="F1" s="75" t="s">
        <v>58</v>
      </c>
      <c r="G1" s="53" t="s">
        <v>59</v>
      </c>
      <c r="H1" s="53" t="s">
        <v>43</v>
      </c>
      <c r="I1" s="69" t="s">
        <v>160</v>
      </c>
      <c r="J1" s="57" t="s">
        <v>161</v>
      </c>
      <c r="K1" s="54" t="s">
        <v>162</v>
      </c>
      <c r="L1" s="54" t="s">
        <v>157</v>
      </c>
      <c r="M1" s="53" t="s">
        <v>198</v>
      </c>
      <c r="N1" s="51" t="s">
        <v>72</v>
      </c>
      <c r="O1" s="51" t="s">
        <v>49</v>
      </c>
      <c r="P1" s="55" t="s">
        <v>73</v>
      </c>
      <c r="Q1" s="55" t="s">
        <v>35</v>
      </c>
      <c r="R1" s="58" t="s">
        <v>52</v>
      </c>
      <c r="S1" s="53" t="s">
        <v>53</v>
      </c>
      <c r="T1" s="53" t="s">
        <v>194</v>
      </c>
      <c r="U1" s="53" t="s">
        <v>195</v>
      </c>
      <c r="V1" s="51" t="s">
        <v>142</v>
      </c>
      <c r="W1" s="51" t="s">
        <v>45</v>
      </c>
      <c r="X1" s="56" t="s">
        <v>202</v>
      </c>
      <c r="Y1" s="55" t="s">
        <v>46</v>
      </c>
      <c r="Z1" s="55" t="s">
        <v>47</v>
      </c>
      <c r="AA1" s="55" t="s">
        <v>48</v>
      </c>
      <c r="AB1" s="51" t="s">
        <v>166</v>
      </c>
    </row>
    <row r="2" spans="1:27" ht="38.25">
      <c r="A2" s="71">
        <v>3194</v>
      </c>
      <c r="B2" s="73" t="s">
        <v>129</v>
      </c>
      <c r="C2" s="73" t="s">
        <v>102</v>
      </c>
      <c r="D2" s="74" t="s">
        <v>103</v>
      </c>
      <c r="E2" s="74">
        <v>44</v>
      </c>
      <c r="F2" s="74" t="s">
        <v>79</v>
      </c>
      <c r="G2" s="73" t="s">
        <v>164</v>
      </c>
      <c r="H2" s="73" t="s">
        <v>229</v>
      </c>
      <c r="I2" s="74">
        <v>44</v>
      </c>
      <c r="J2" s="74" t="s">
        <v>79</v>
      </c>
      <c r="K2" s="73" t="s">
        <v>164</v>
      </c>
      <c r="L2" s="74" t="s">
        <v>103</v>
      </c>
      <c r="M2" s="73" t="s">
        <v>232</v>
      </c>
      <c r="N2" s="74" t="s">
        <v>118</v>
      </c>
      <c r="O2" s="74"/>
      <c r="P2" s="74"/>
      <c r="Q2" s="74"/>
      <c r="R2" s="74"/>
      <c r="S2" s="74" t="s">
        <v>241</v>
      </c>
      <c r="T2" s="78" t="s">
        <v>83</v>
      </c>
      <c r="U2" s="78" t="s">
        <v>220</v>
      </c>
      <c r="V2" s="68" t="s">
        <v>138</v>
      </c>
      <c r="W2" s="68" t="s">
        <v>245</v>
      </c>
      <c r="X2" s="68" t="s">
        <v>244</v>
      </c>
      <c r="Y2" s="68"/>
      <c r="Z2" s="68"/>
      <c r="AA2" s="68"/>
    </row>
    <row r="3" spans="1:27" ht="38.25">
      <c r="A3" s="71">
        <v>3221</v>
      </c>
      <c r="B3" s="73" t="s">
        <v>129</v>
      </c>
      <c r="C3" s="73" t="s">
        <v>102</v>
      </c>
      <c r="D3" s="74" t="s">
        <v>105</v>
      </c>
      <c r="E3" s="74">
        <v>101</v>
      </c>
      <c r="F3" s="74" t="s">
        <v>76</v>
      </c>
      <c r="G3" s="73" t="s">
        <v>164</v>
      </c>
      <c r="H3" s="73" t="s">
        <v>229</v>
      </c>
      <c r="I3" s="74">
        <v>101</v>
      </c>
      <c r="J3" s="74" t="s">
        <v>76</v>
      </c>
      <c r="K3" s="73" t="s">
        <v>164</v>
      </c>
      <c r="L3" s="74" t="s">
        <v>105</v>
      </c>
      <c r="M3" s="73" t="s">
        <v>232</v>
      </c>
      <c r="N3" s="74" t="s">
        <v>118</v>
      </c>
      <c r="O3" s="74"/>
      <c r="P3" s="74"/>
      <c r="Q3" s="74"/>
      <c r="R3" s="74"/>
      <c r="S3" s="74" t="s">
        <v>241</v>
      </c>
      <c r="T3" s="78" t="s">
        <v>84</v>
      </c>
      <c r="U3" s="78" t="s">
        <v>220</v>
      </c>
      <c r="V3" s="68" t="s">
        <v>138</v>
      </c>
      <c r="W3" s="68" t="s">
        <v>245</v>
      </c>
      <c r="X3" s="68" t="s">
        <v>244</v>
      </c>
      <c r="Y3" s="68"/>
      <c r="Z3" s="68"/>
      <c r="AA3" s="68"/>
    </row>
    <row r="4" spans="1:27" ht="89.25">
      <c r="A4" s="71">
        <v>3236</v>
      </c>
      <c r="B4" s="73" t="s">
        <v>129</v>
      </c>
      <c r="C4" s="73" t="s">
        <v>102</v>
      </c>
      <c r="D4" s="74" t="s">
        <v>106</v>
      </c>
      <c r="E4" s="74">
        <v>192</v>
      </c>
      <c r="F4" s="74" t="s">
        <v>77</v>
      </c>
      <c r="G4" s="73" t="s">
        <v>164</v>
      </c>
      <c r="H4" s="73" t="s">
        <v>229</v>
      </c>
      <c r="I4" s="74">
        <v>192</v>
      </c>
      <c r="J4" s="74" t="s">
        <v>77</v>
      </c>
      <c r="K4" s="73" t="s">
        <v>164</v>
      </c>
      <c r="L4" s="74" t="s">
        <v>106</v>
      </c>
      <c r="M4" s="73" t="s">
        <v>232</v>
      </c>
      <c r="N4" s="74" t="s">
        <v>118</v>
      </c>
      <c r="O4" s="74"/>
      <c r="P4" s="74"/>
      <c r="Q4" s="74"/>
      <c r="R4" s="74"/>
      <c r="S4" s="74" t="s">
        <v>241</v>
      </c>
      <c r="T4" s="78" t="s">
        <v>112</v>
      </c>
      <c r="U4" s="78" t="s">
        <v>113</v>
      </c>
      <c r="V4" s="68" t="s">
        <v>138</v>
      </c>
      <c r="W4" s="68" t="s">
        <v>245</v>
      </c>
      <c r="X4" s="68" t="s">
        <v>244</v>
      </c>
      <c r="Y4" s="68"/>
      <c r="Z4" s="68"/>
      <c r="AA4" s="68"/>
    </row>
    <row r="5" spans="1:27" ht="204">
      <c r="A5" s="71">
        <v>3019</v>
      </c>
      <c r="B5" s="73" t="s">
        <v>136</v>
      </c>
      <c r="C5" s="73" t="s">
        <v>243</v>
      </c>
      <c r="D5" s="74" t="s">
        <v>81</v>
      </c>
      <c r="E5" s="74" t="s">
        <v>92</v>
      </c>
      <c r="F5" s="74" t="s">
        <v>93</v>
      </c>
      <c r="G5" s="73" t="s">
        <v>163</v>
      </c>
      <c r="H5" s="73" t="s">
        <v>229</v>
      </c>
      <c r="I5" s="74" t="s">
        <v>92</v>
      </c>
      <c r="J5" s="74" t="s">
        <v>93</v>
      </c>
      <c r="K5" s="73" t="s">
        <v>163</v>
      </c>
      <c r="L5" s="74" t="s">
        <v>81</v>
      </c>
      <c r="M5" s="73" t="s">
        <v>232</v>
      </c>
      <c r="N5" s="74" t="s">
        <v>116</v>
      </c>
      <c r="O5" s="74"/>
      <c r="P5" s="74"/>
      <c r="Q5" s="74"/>
      <c r="R5" s="74"/>
      <c r="S5" s="74" t="s">
        <v>241</v>
      </c>
      <c r="T5" s="78" t="s">
        <v>82</v>
      </c>
      <c r="U5" s="78" t="s">
        <v>219</v>
      </c>
      <c r="V5" s="68" t="s">
        <v>139</v>
      </c>
      <c r="W5" s="68" t="s">
        <v>2</v>
      </c>
      <c r="X5" s="68" t="s">
        <v>244</v>
      </c>
      <c r="Y5" s="68"/>
      <c r="Z5" s="68"/>
      <c r="AA5" s="68"/>
    </row>
    <row r="6" spans="1:27" ht="38.25">
      <c r="A6" s="71">
        <v>3059</v>
      </c>
      <c r="B6" s="73" t="s">
        <v>126</v>
      </c>
      <c r="C6" s="73" t="s">
        <v>94</v>
      </c>
      <c r="D6" s="74">
        <v>8.2</v>
      </c>
      <c r="E6" s="74">
        <v>84</v>
      </c>
      <c r="F6" s="74" t="s">
        <v>125</v>
      </c>
      <c r="G6" s="73" t="s">
        <v>231</v>
      </c>
      <c r="H6" s="73" t="s">
        <v>230</v>
      </c>
      <c r="I6" s="74">
        <v>84</v>
      </c>
      <c r="J6" s="74" t="s">
        <v>125</v>
      </c>
      <c r="K6" s="73" t="s">
        <v>231</v>
      </c>
      <c r="L6" s="74">
        <v>8.2</v>
      </c>
      <c r="M6" s="73" t="s">
        <v>85</v>
      </c>
      <c r="N6" s="74" t="s">
        <v>117</v>
      </c>
      <c r="O6" s="74"/>
      <c r="P6" s="74"/>
      <c r="Q6" s="74"/>
      <c r="R6" s="74"/>
      <c r="S6" s="74" t="s">
        <v>241</v>
      </c>
      <c r="T6" s="78" t="s">
        <v>122</v>
      </c>
      <c r="U6" s="78" t="s">
        <v>123</v>
      </c>
      <c r="V6" s="68" t="s">
        <v>138</v>
      </c>
      <c r="W6" s="68" t="s">
        <v>245</v>
      </c>
      <c r="X6" s="68" t="s">
        <v>244</v>
      </c>
      <c r="Y6" s="68"/>
      <c r="Z6" s="68"/>
      <c r="AA6" s="68"/>
    </row>
    <row r="7" spans="1:27" ht="204">
      <c r="A7" s="71">
        <v>3121</v>
      </c>
      <c r="B7" s="73" t="s">
        <v>127</v>
      </c>
      <c r="C7" s="73" t="s">
        <v>95</v>
      </c>
      <c r="D7" s="74" t="s">
        <v>96</v>
      </c>
      <c r="E7" s="74">
        <v>195</v>
      </c>
      <c r="F7" s="74" t="s">
        <v>97</v>
      </c>
      <c r="G7" s="73" t="s">
        <v>231</v>
      </c>
      <c r="H7" s="73" t="s">
        <v>230</v>
      </c>
      <c r="I7" s="74">
        <v>195</v>
      </c>
      <c r="J7" s="74" t="s">
        <v>97</v>
      </c>
      <c r="K7" s="73" t="s">
        <v>231</v>
      </c>
      <c r="L7" s="74" t="s">
        <v>96</v>
      </c>
      <c r="M7" s="73" t="s">
        <v>232</v>
      </c>
      <c r="N7" s="74" t="s">
        <v>117</v>
      </c>
      <c r="O7" s="74"/>
      <c r="P7" s="74"/>
      <c r="Q7" s="74"/>
      <c r="R7" s="74"/>
      <c r="S7" s="74" t="s">
        <v>241</v>
      </c>
      <c r="T7" s="78" t="s">
        <v>78</v>
      </c>
      <c r="U7" s="78" t="s">
        <v>107</v>
      </c>
      <c r="V7" s="68" t="s">
        <v>139</v>
      </c>
      <c r="W7" s="68" t="s">
        <v>3</v>
      </c>
      <c r="X7" s="68" t="s">
        <v>244</v>
      </c>
      <c r="Y7" s="68"/>
      <c r="Z7" s="68"/>
      <c r="AA7" s="68"/>
    </row>
    <row r="8" spans="1:27" ht="63.75">
      <c r="A8" s="71">
        <v>3154</v>
      </c>
      <c r="B8" s="73" t="s">
        <v>128</v>
      </c>
      <c r="C8" s="73" t="s">
        <v>98</v>
      </c>
      <c r="D8" s="74" t="s">
        <v>99</v>
      </c>
      <c r="E8" s="74">
        <v>12</v>
      </c>
      <c r="F8" s="74" t="s">
        <v>223</v>
      </c>
      <c r="G8" s="73" t="s">
        <v>231</v>
      </c>
      <c r="H8" s="73" t="s">
        <v>230</v>
      </c>
      <c r="I8" s="74">
        <v>12</v>
      </c>
      <c r="J8" s="74" t="s">
        <v>223</v>
      </c>
      <c r="K8" s="73" t="s">
        <v>231</v>
      </c>
      <c r="L8" s="74" t="s">
        <v>99</v>
      </c>
      <c r="M8" s="73" t="s">
        <v>232</v>
      </c>
      <c r="N8" s="74" t="s">
        <v>117</v>
      </c>
      <c r="O8" s="74"/>
      <c r="P8" s="74"/>
      <c r="Q8" s="74"/>
      <c r="R8" s="74"/>
      <c r="S8" s="74" t="s">
        <v>241</v>
      </c>
      <c r="T8" s="78" t="s">
        <v>108</v>
      </c>
      <c r="U8" s="78" t="s">
        <v>109</v>
      </c>
      <c r="V8" s="68" t="s">
        <v>140</v>
      </c>
      <c r="W8" s="68" t="s">
        <v>246</v>
      </c>
      <c r="X8" s="68" t="s">
        <v>244</v>
      </c>
      <c r="Y8" s="68"/>
      <c r="Z8" s="68"/>
      <c r="AA8" s="68"/>
    </row>
    <row r="9" spans="1:27" ht="25.5">
      <c r="A9" s="71">
        <v>3161</v>
      </c>
      <c r="B9" s="73" t="s">
        <v>128</v>
      </c>
      <c r="C9" s="73" t="s">
        <v>98</v>
      </c>
      <c r="D9" s="74" t="s">
        <v>100</v>
      </c>
      <c r="E9" s="74">
        <v>106</v>
      </c>
      <c r="F9" s="74" t="s">
        <v>80</v>
      </c>
      <c r="G9" s="73" t="s">
        <v>231</v>
      </c>
      <c r="H9" s="73" t="s">
        <v>230</v>
      </c>
      <c r="I9" s="74">
        <v>106</v>
      </c>
      <c r="J9" s="74" t="s">
        <v>80</v>
      </c>
      <c r="K9" s="73" t="s">
        <v>231</v>
      </c>
      <c r="L9" s="74" t="s">
        <v>100</v>
      </c>
      <c r="M9" s="73" t="s">
        <v>232</v>
      </c>
      <c r="N9" s="74" t="s">
        <v>117</v>
      </c>
      <c r="O9" s="74"/>
      <c r="P9" s="74"/>
      <c r="Q9" s="74"/>
      <c r="R9" s="74"/>
      <c r="S9" s="74" t="s">
        <v>241</v>
      </c>
      <c r="T9" s="78" t="s">
        <v>110</v>
      </c>
      <c r="U9" s="78" t="s">
        <v>222</v>
      </c>
      <c r="V9" s="68" t="s">
        <v>138</v>
      </c>
      <c r="W9" s="68"/>
      <c r="X9" s="68"/>
      <c r="Y9" s="68"/>
      <c r="Z9" s="68"/>
      <c r="AA9" s="68"/>
    </row>
    <row r="10" spans="1:27" ht="25.5">
      <c r="A10" s="71">
        <v>3162</v>
      </c>
      <c r="B10" s="73" t="s">
        <v>128</v>
      </c>
      <c r="C10" s="73" t="s">
        <v>98</v>
      </c>
      <c r="D10" s="74" t="s">
        <v>101</v>
      </c>
      <c r="E10" s="74">
        <v>107</v>
      </c>
      <c r="F10" s="74" t="s">
        <v>74</v>
      </c>
      <c r="G10" s="73" t="s">
        <v>231</v>
      </c>
      <c r="H10" s="73" t="s">
        <v>230</v>
      </c>
      <c r="I10" s="74">
        <v>107</v>
      </c>
      <c r="J10" s="74" t="s">
        <v>74</v>
      </c>
      <c r="K10" s="73" t="s">
        <v>231</v>
      </c>
      <c r="L10" s="74" t="s">
        <v>101</v>
      </c>
      <c r="M10" s="73" t="s">
        <v>232</v>
      </c>
      <c r="N10" s="74" t="s">
        <v>117</v>
      </c>
      <c r="O10" s="74"/>
      <c r="P10" s="74"/>
      <c r="Q10" s="74"/>
      <c r="R10" s="74"/>
      <c r="S10" s="74" t="s">
        <v>241</v>
      </c>
      <c r="T10" s="78" t="s">
        <v>111</v>
      </c>
      <c r="U10" s="78" t="s">
        <v>222</v>
      </c>
      <c r="V10" s="68" t="s">
        <v>138</v>
      </c>
      <c r="W10" s="68" t="s">
        <v>245</v>
      </c>
      <c r="X10" s="68" t="s">
        <v>244</v>
      </c>
      <c r="Y10" s="68"/>
      <c r="Z10" s="68"/>
      <c r="AA10" s="68"/>
    </row>
    <row r="11" spans="1:27" ht="89.25">
      <c r="A11" s="71">
        <v>3185</v>
      </c>
      <c r="B11" s="73" t="s">
        <v>129</v>
      </c>
      <c r="C11" s="73" t="s">
        <v>102</v>
      </c>
      <c r="D11" s="74" t="s">
        <v>221</v>
      </c>
      <c r="E11" s="74">
        <v>9</v>
      </c>
      <c r="F11" s="74" t="s">
        <v>75</v>
      </c>
      <c r="G11" s="73" t="s">
        <v>163</v>
      </c>
      <c r="H11" s="73" t="s">
        <v>229</v>
      </c>
      <c r="I11" s="74">
        <v>9</v>
      </c>
      <c r="J11" s="74" t="s">
        <v>75</v>
      </c>
      <c r="K11" s="73" t="s">
        <v>163</v>
      </c>
      <c r="L11" s="74" t="s">
        <v>221</v>
      </c>
      <c r="M11" s="73" t="s">
        <v>232</v>
      </c>
      <c r="N11" s="74" t="s">
        <v>117</v>
      </c>
      <c r="O11" s="74"/>
      <c r="P11" s="74"/>
      <c r="Q11" s="74"/>
      <c r="R11" s="74"/>
      <c r="S11" s="74" t="s">
        <v>241</v>
      </c>
      <c r="T11" s="78" t="s">
        <v>227</v>
      </c>
      <c r="U11" s="78" t="s">
        <v>228</v>
      </c>
      <c r="V11" s="68" t="s">
        <v>139</v>
      </c>
      <c r="W11" s="68" t="s">
        <v>4</v>
      </c>
      <c r="X11" s="68" t="s">
        <v>244</v>
      </c>
      <c r="Y11" s="68"/>
      <c r="Z11" s="68"/>
      <c r="AA11" s="68"/>
    </row>
    <row r="12" spans="1:27" ht="191.25">
      <c r="A12" s="71">
        <v>3214</v>
      </c>
      <c r="B12" s="73" t="s">
        <v>129</v>
      </c>
      <c r="C12" s="73" t="s">
        <v>102</v>
      </c>
      <c r="D12" s="74" t="s">
        <v>104</v>
      </c>
      <c r="E12" s="74">
        <v>84</v>
      </c>
      <c r="F12" s="74" t="s">
        <v>124</v>
      </c>
      <c r="G12" s="73" t="s">
        <v>163</v>
      </c>
      <c r="H12" s="73" t="s">
        <v>229</v>
      </c>
      <c r="I12" s="74">
        <v>84</v>
      </c>
      <c r="J12" s="74" t="s">
        <v>124</v>
      </c>
      <c r="K12" s="73" t="s">
        <v>163</v>
      </c>
      <c r="L12" s="74" t="s">
        <v>104</v>
      </c>
      <c r="M12" s="73" t="s">
        <v>232</v>
      </c>
      <c r="N12" s="74" t="s">
        <v>117</v>
      </c>
      <c r="O12" s="74"/>
      <c r="P12" s="74"/>
      <c r="Q12" s="74"/>
      <c r="R12" s="74"/>
      <c r="S12" s="74" t="s">
        <v>241</v>
      </c>
      <c r="T12" s="78" t="s">
        <v>0</v>
      </c>
      <c r="U12" s="78" t="s">
        <v>1</v>
      </c>
      <c r="V12" s="68" t="s">
        <v>139</v>
      </c>
      <c r="W12" s="68" t="s">
        <v>5</v>
      </c>
      <c r="X12" s="68" t="s">
        <v>244</v>
      </c>
      <c r="Y12" s="68"/>
      <c r="Z12" s="68"/>
      <c r="AA12" s="68"/>
    </row>
    <row r="13" spans="1:27" ht="12.75">
      <c r="A13" s="71"/>
      <c r="B13" s="73"/>
      <c r="C13" s="73"/>
      <c r="D13" s="74"/>
      <c r="E13" s="74"/>
      <c r="F13" s="74"/>
      <c r="G13" s="73"/>
      <c r="H13" s="73"/>
      <c r="I13" s="74"/>
      <c r="J13" s="74"/>
      <c r="K13" s="73"/>
      <c r="L13" s="74"/>
      <c r="M13" s="73"/>
      <c r="N13" s="74"/>
      <c r="O13" s="74"/>
      <c r="P13" s="74"/>
      <c r="Q13" s="74"/>
      <c r="R13" s="74"/>
      <c r="S13" s="74"/>
      <c r="T13" s="73"/>
      <c r="U13" s="73"/>
      <c r="V13" s="68"/>
      <c r="W13" s="68"/>
      <c r="X13" s="68"/>
      <c r="Y13" s="68"/>
      <c r="Z13" s="68"/>
      <c r="AA13" s="68"/>
    </row>
  </sheetData>
  <sheetProtection/>
  <autoFilter ref="A1:AB13"/>
  <conditionalFormatting sqref="A1:AB1">
    <cfRule type="expression" priority="1" dxfId="1" stopIfTrue="1">
      <formula>AND($S1="Closed",$Y1="Done")</formula>
    </cfRule>
    <cfRule type="expression" priority="2" dxfId="0" stopIfTrue="1">
      <formula>$S1="Closed"</formula>
    </cfRule>
  </conditionalFormatting>
  <conditionalFormatting sqref="A2:AA1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1">
      <selection activeCell="K15" sqref="K1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61</v>
      </c>
    </row>
    <row r="3" spans="1:9" s="44" customFormat="1" ht="18">
      <c r="A3" s="44" t="s">
        <v>165</v>
      </c>
      <c r="D3" s="62" t="s">
        <v>149</v>
      </c>
      <c r="E3" s="62" t="s">
        <v>150</v>
      </c>
      <c r="F3" s="62" t="s">
        <v>175</v>
      </c>
      <c r="G3" s="44" t="s">
        <v>119</v>
      </c>
      <c r="H3" s="44" t="s">
        <v>120</v>
      </c>
      <c r="I3" s="44" t="s">
        <v>121</v>
      </c>
    </row>
    <row r="4" spans="2:9" ht="12.75">
      <c r="B4" t="s">
        <v>148</v>
      </c>
      <c r="C4" t="s">
        <v>14</v>
      </c>
      <c r="D4">
        <f>COUNTIF(Comments!$N$2:$N$13,B4)</f>
        <v>0</v>
      </c>
      <c r="E4" s="60">
        <f>SUMPRODUCT((Comments!$N$2:$N$13=B4)*(Comments!$S$2:$S$13="Closed"))</f>
        <v>0</v>
      </c>
      <c r="F4">
        <f aca="true" t="shared" si="0" ref="F4:F13">D4-E4</f>
        <v>0</v>
      </c>
      <c r="H4" s="60">
        <f>SUMPRODUCT((Comments!$N$2:$N$13=B4)*(Comments!$V$2:$V$13="Accept"))+SUMPRODUCT((Comments!$N$2:$N$13=B4)*(Comments!$V$2:$V$13="Counter"))+SUMPRODUCT((Comments!$N$2:$N$13=B4)*(Comments!$V$2:$V$13="Reject"))</f>
        <v>0</v>
      </c>
      <c r="I4" s="77">
        <f aca="true" t="shared" si="1" ref="I4:I13">D4-H4</f>
        <v>0</v>
      </c>
    </row>
    <row r="5" spans="2:9" ht="12.75">
      <c r="B5" t="s">
        <v>182</v>
      </c>
      <c r="C5" t="s">
        <v>239</v>
      </c>
      <c r="D5">
        <f>COUNTIF(Comments!$N$2:$N$13,B5)</f>
        <v>0</v>
      </c>
      <c r="E5" s="60">
        <f>SUMPRODUCT((Comments!$N$2:$N$13=B5)*(Comments!$S$2:$S$13="Closed"))</f>
        <v>0</v>
      </c>
      <c r="F5">
        <f t="shared" si="0"/>
        <v>0</v>
      </c>
      <c r="H5" s="60">
        <f>SUMPRODUCT((Comments!$N$2:$N$13=B5)*(Comments!$V$2:$V$13="Accept"))+SUMPRODUCT((Comments!$N$2:$N$13=B5)*(Comments!$V$2:$V$13="Counter"))+SUMPRODUCT((Comments!$N$2:$N$13=B5)*(Comments!$V$2:$V$13="Reject"))</f>
        <v>0</v>
      </c>
      <c r="I5" s="77">
        <f t="shared" si="1"/>
        <v>0</v>
      </c>
    </row>
    <row r="6" spans="2:9" ht="12.75">
      <c r="B6" t="s">
        <v>11</v>
      </c>
      <c r="D6">
        <f>COUNTIF(Comments!$N$2:$N$13,B6)</f>
        <v>0</v>
      </c>
      <c r="E6" s="60">
        <f>SUMPRODUCT((Comments!$N$2:$N$13=B6)*(Comments!$S$2:$S$13="Closed"))</f>
        <v>0</v>
      </c>
      <c r="F6">
        <f t="shared" si="0"/>
        <v>0</v>
      </c>
      <c r="H6" s="60">
        <f>SUMPRODUCT((Comments!$N$2:$N$13=B6)*(Comments!$V$2:$V$13="Accept"))+SUMPRODUCT((Comments!$N$2:$N$13=B6)*(Comments!$V$2:$V$13="Counter"))+SUMPRODUCT((Comments!$N$2:$N$13=B6)*(Comments!$V$2:$V$13="Reject"))</f>
        <v>0</v>
      </c>
      <c r="I6" s="77">
        <f t="shared" si="1"/>
        <v>0</v>
      </c>
    </row>
    <row r="7" spans="2:9" ht="12.75">
      <c r="B7" t="s">
        <v>183</v>
      </c>
      <c r="C7" t="s">
        <v>237</v>
      </c>
      <c r="D7">
        <f>COUNTIF(Comments!$N$2:$N$13,B7)</f>
        <v>0</v>
      </c>
      <c r="E7" s="60">
        <f>SUMPRODUCT((Comments!$N$2:$N$13=B7)*(Comments!$S$2:$S$13="Closed"))</f>
        <v>0</v>
      </c>
      <c r="F7">
        <f t="shared" si="0"/>
        <v>0</v>
      </c>
      <c r="H7" s="60">
        <f>SUMPRODUCT((Comments!$N$2:$N$13=B7)*(Comments!$V$2:$V$13="Accept"))+SUMPRODUCT((Comments!$N$2:$N$13=B7)*(Comments!$V$2:$V$13="Counter"))+SUMPRODUCT((Comments!$N$2:$N$13=B7)*(Comments!$V$2:$V$13="Reject"))</f>
        <v>0</v>
      </c>
      <c r="I7" s="77">
        <f t="shared" si="1"/>
        <v>0</v>
      </c>
    </row>
    <row r="8" spans="2:9" ht="12.75">
      <c r="B8" t="s">
        <v>12</v>
      </c>
      <c r="C8" t="s">
        <v>13</v>
      </c>
      <c r="D8">
        <f>COUNTIF(Comments!$N$2:$N$13,B8)</f>
        <v>0</v>
      </c>
      <c r="E8" s="60">
        <f>SUMPRODUCT((Comments!$N$2:$N$13=B8)*(Comments!$S$2:$S$13="Closed"))</f>
        <v>0</v>
      </c>
      <c r="F8">
        <f t="shared" si="0"/>
        <v>0</v>
      </c>
      <c r="H8" s="60">
        <f>SUMPRODUCT((Comments!$N$2:$N$13=B8)*(Comments!$V$2:$V$13="Accept"))+SUMPRODUCT((Comments!$N$2:$N$13=B8)*(Comments!$V$2:$V$13="Counter"))+SUMPRODUCT((Comments!$N$2:$N$13=B8)*(Comments!$V$2:$V$13="Reject"))</f>
        <v>0</v>
      </c>
      <c r="I8" s="77">
        <f t="shared" si="1"/>
        <v>0</v>
      </c>
    </row>
    <row r="9" spans="2:9" ht="12.75">
      <c r="B9" t="s">
        <v>176</v>
      </c>
      <c r="D9">
        <f>COUNTIF(Comments!$N$2:$N$13,B9)</f>
        <v>0</v>
      </c>
      <c r="E9" s="60">
        <f>SUMPRODUCT((Comments!$N$2:$N$13=B9)*(Comments!$S$2:$S$13="Closed"))</f>
        <v>0</v>
      </c>
      <c r="F9">
        <f t="shared" si="0"/>
        <v>0</v>
      </c>
      <c r="H9" s="60">
        <f>SUMPRODUCT((Comments!$N$2:$N$13=B9)*(Comments!$V$2:$V$13="Accept"))+SUMPRODUCT((Comments!$N$2:$N$13=B9)*(Comments!$V$2:$V$13="Counter"))+SUMPRODUCT((Comments!$N$2:$N$13=B9)*(Comments!$V$2:$V$13="Reject"))</f>
        <v>0</v>
      </c>
      <c r="I9" s="77">
        <f t="shared" si="1"/>
        <v>0</v>
      </c>
    </row>
    <row r="10" spans="2:9" ht="12.75">
      <c r="B10" t="s">
        <v>64</v>
      </c>
      <c r="C10" t="s">
        <v>65</v>
      </c>
      <c r="D10">
        <f>COUNTIF(Comments!$N$2:$N$13,B10)</f>
        <v>0</v>
      </c>
      <c r="E10" s="60">
        <f>SUMPRODUCT((Comments!$N$2:$N$13=B10)*(Comments!$S$2:$S$13="Closed"))</f>
        <v>0</v>
      </c>
      <c r="F10">
        <f t="shared" si="0"/>
        <v>0</v>
      </c>
      <c r="H10" s="60">
        <f>SUMPRODUCT((Comments!$N$2:$N$13=B10)*(Comments!$V$2:$V$13="Accept"))+SUMPRODUCT((Comments!$N$2:$N$13=B10)*(Comments!$V$2:$V$13="Counter"))+SUMPRODUCT((Comments!$N$2:$N$13=B10)*(Comments!$V$2:$V$13="Reject"))</f>
        <v>0</v>
      </c>
      <c r="I10" s="77">
        <f t="shared" si="1"/>
        <v>0</v>
      </c>
    </row>
    <row r="11" spans="2:9" ht="12.75">
      <c r="B11" t="s">
        <v>235</v>
      </c>
      <c r="C11" t="s">
        <v>236</v>
      </c>
      <c r="D11">
        <f>COUNTIF(Comments!$N$2:$N$13,B11)</f>
        <v>0</v>
      </c>
      <c r="E11" s="60">
        <f>SUMPRODUCT((Comments!$N$2:$N$13=B11)*(Comments!$S$2:$S$13="Closed"))</f>
        <v>0</v>
      </c>
      <c r="F11">
        <f t="shared" si="0"/>
        <v>0</v>
      </c>
      <c r="H11" s="60">
        <f>SUMPRODUCT((Comments!$N$2:$N$13=B11)*(Comments!$V$2:$V$13="Accept"))+SUMPRODUCT((Comments!$N$2:$N$13=B11)*(Comments!$V$2:$V$13="Counter"))+SUMPRODUCT((Comments!$N$2:$N$13=B11)*(Comments!$V$2:$V$13="Reject"))</f>
        <v>0</v>
      </c>
      <c r="I11" s="77">
        <f t="shared" si="1"/>
        <v>0</v>
      </c>
    </row>
    <row r="12" spans="2:9" ht="12.75">
      <c r="B12" t="s">
        <v>207</v>
      </c>
      <c r="D12">
        <f>COUNTIF(Comments!$N$2:$N$13,B12)</f>
        <v>0</v>
      </c>
      <c r="E12" s="60">
        <f>SUMPRODUCT((Comments!$N$2:$N$13=B12)*(Comments!$S$2:$S$13="Closed"))</f>
        <v>0</v>
      </c>
      <c r="F12">
        <f t="shared" si="0"/>
        <v>0</v>
      </c>
      <c r="H12" s="60">
        <f>SUMPRODUCT((Comments!$N$2:$N$13=B12)*(Comments!$V$2:$V$13="Accept"))+SUMPRODUCT((Comments!$N$2:$N$13=B12)*(Comments!$V$2:$V$13="Counter"))+SUMPRODUCT((Comments!$N$2:$N$13=B12)*(Comments!$V$2:$V$13="Reject"))</f>
        <v>0</v>
      </c>
      <c r="I12" s="77">
        <f t="shared" si="1"/>
        <v>0</v>
      </c>
    </row>
    <row r="13" spans="2:9" ht="12.75">
      <c r="B13" t="s">
        <v>144</v>
      </c>
      <c r="D13">
        <f>COUNTIF(Comments!$N$2:$N$13,B13)</f>
        <v>0</v>
      </c>
      <c r="E13" s="60">
        <f>SUMPRODUCT((Comments!$N$2:$N$13=B13)*(Comments!$S$2:$S$13="Closed"))</f>
        <v>0</v>
      </c>
      <c r="F13">
        <f t="shared" si="0"/>
        <v>0</v>
      </c>
      <c r="H13" s="60">
        <f>SUMPRODUCT((Comments!$N$2:$N$13=B13)*(Comments!$V$2:$V$13="Accept"))+SUMPRODUCT((Comments!$N$2:$N$13=B13)*(Comments!$V$2:$V$13="Counter"))+SUMPRODUCT((Comments!$N$2:$N$13=B13)*(Comments!$V$2:$V$13="Reject"))</f>
        <v>0</v>
      </c>
      <c r="I13" s="77">
        <f t="shared" si="1"/>
        <v>0</v>
      </c>
    </row>
    <row r="14" spans="4:9" ht="12.75">
      <c r="D14">
        <f>SUM(D4:D13)</f>
        <v>0</v>
      </c>
      <c r="E14">
        <f>SUM(E4:E13)</f>
        <v>0</v>
      </c>
      <c r="F14">
        <f>SUM(F4:F13)</f>
        <v>0</v>
      </c>
      <c r="H14">
        <f>SUM(H4:H13)</f>
        <v>0</v>
      </c>
      <c r="I14">
        <f>SUM(I4:I13)</f>
        <v>0</v>
      </c>
    </row>
    <row r="15" s="44" customFormat="1" ht="18">
      <c r="A15" s="44" t="s">
        <v>180</v>
      </c>
    </row>
    <row r="16" spans="2:9" ht="12.75">
      <c r="B16" t="s">
        <v>185</v>
      </c>
      <c r="C16" t="s">
        <v>186</v>
      </c>
      <c r="D16">
        <f>COUNTIF(Comments!$N$2:$N$13,B16)</f>
        <v>0</v>
      </c>
      <c r="E16" s="60">
        <f>SUMPRODUCT((Comments!$N$2:$N$13=B16)*(Comments!$S$2:$S$13="Closed"))</f>
        <v>0</v>
      </c>
      <c r="F16">
        <f aca="true" t="shared" si="2" ref="F16:F23">D16-E16</f>
        <v>0</v>
      </c>
      <c r="H16" s="60">
        <f>SUMPRODUCT((Comments!$N$2:$N$13=B16)*(Comments!$V$2:$V$13="Accept"))+SUMPRODUCT((Comments!$N$2:$N$13=B16)*(Comments!$V$2:$V$13="Counter"))+SUMPRODUCT((Comments!$N$2:$N$13=B16)*(Comments!$V$2:$V$13="Reject"))</f>
        <v>0</v>
      </c>
      <c r="I16" s="77">
        <f aca="true" t="shared" si="3" ref="I16:I23">D16-H16</f>
        <v>0</v>
      </c>
    </row>
    <row r="17" spans="2:9" ht="12.75">
      <c r="B17" t="s">
        <v>15</v>
      </c>
      <c r="C17" t="s">
        <v>16</v>
      </c>
      <c r="D17">
        <f>COUNTIF(Comments!$N$2:$N$13,B17)</f>
        <v>0</v>
      </c>
      <c r="E17" s="60">
        <f>SUMPRODUCT((Comments!$N$2:$N$13=B17)*(Comments!$S$2:$S$13="Closed"))</f>
        <v>0</v>
      </c>
      <c r="F17">
        <f t="shared" si="2"/>
        <v>0</v>
      </c>
      <c r="H17" s="60">
        <f>SUMPRODUCT((Comments!$N$2:$N$13=B17)*(Comments!$V$2:$V$13="Accept"))+SUMPRODUCT((Comments!$N$2:$N$13=B17)*(Comments!$V$2:$V$13="Counter"))+SUMPRODUCT((Comments!$N$2:$N$13=B17)*(Comments!$V$2:$V$13="Reject"))</f>
        <v>0</v>
      </c>
      <c r="I17" s="77">
        <f t="shared" si="3"/>
        <v>0</v>
      </c>
    </row>
    <row r="18" spans="2:9" ht="12.75">
      <c r="B18" t="s">
        <v>17</v>
      </c>
      <c r="C18" t="s">
        <v>184</v>
      </c>
      <c r="D18">
        <f>COUNTIF(Comments!$N$2:$N$13,B18)</f>
        <v>0</v>
      </c>
      <c r="E18" s="60">
        <f>SUMPRODUCT((Comments!$N$2:$N$13=B18)*(Comments!$S$2:$S$13="Closed"))</f>
        <v>0</v>
      </c>
      <c r="F18">
        <f t="shared" si="2"/>
        <v>0</v>
      </c>
      <c r="H18" s="60">
        <f>SUMPRODUCT((Comments!$N$2:$N$13=B18)*(Comments!$V$2:$V$13="Accept"))+SUMPRODUCT((Comments!$N$2:$N$13=B18)*(Comments!$V$2:$V$13="Counter"))+SUMPRODUCT((Comments!$N$2:$N$13=B18)*(Comments!$V$2:$V$13="Reject"))</f>
        <v>0</v>
      </c>
      <c r="I18" s="77">
        <f t="shared" si="3"/>
        <v>0</v>
      </c>
    </row>
    <row r="19" spans="2:9" ht="12.75">
      <c r="B19" t="s">
        <v>187</v>
      </c>
      <c r="D19">
        <f>COUNTIF(Comments!$N$2:$N$13,B19)</f>
        <v>0</v>
      </c>
      <c r="E19" s="60">
        <f>SUMPRODUCT((Comments!$N$2:$N$13=B19)*(Comments!$S$2:$S$13="Closed"))</f>
        <v>0</v>
      </c>
      <c r="F19">
        <f t="shared" si="2"/>
        <v>0</v>
      </c>
      <c r="H19" s="60">
        <f>SUMPRODUCT((Comments!$N$2:$N$13=B19)*(Comments!$V$2:$V$13="Accept"))+SUMPRODUCT((Comments!$N$2:$N$13=B19)*(Comments!$V$2:$V$13="Counter"))+SUMPRODUCT((Comments!$N$2:$N$13=B19)*(Comments!$V$2:$V$13="Reject"))</f>
        <v>0</v>
      </c>
      <c r="I19" s="77">
        <f t="shared" si="3"/>
        <v>0</v>
      </c>
    </row>
    <row r="20" spans="2:9" ht="12.75">
      <c r="B20" t="s">
        <v>130</v>
      </c>
      <c r="C20" t="s">
        <v>131</v>
      </c>
      <c r="D20">
        <f>COUNTIF(Comments!$N$2:$N$13,B20)</f>
        <v>0</v>
      </c>
      <c r="E20" s="60">
        <f>SUMPRODUCT((Comments!$N$2:$N$13=B20)*(Comments!$S$2:$S$13="Closed"))</f>
        <v>0</v>
      </c>
      <c r="F20">
        <f t="shared" si="2"/>
        <v>0</v>
      </c>
      <c r="H20" s="60">
        <f>SUMPRODUCT((Comments!$N$2:$N$13=B20)*(Comments!$V$2:$V$13="Accept"))+SUMPRODUCT((Comments!$N$2:$N$13=B20)*(Comments!$V$2:$V$13="Counter"))+SUMPRODUCT((Comments!$N$2:$N$13=B20)*(Comments!$V$2:$V$13="Reject"))</f>
        <v>0</v>
      </c>
      <c r="I20" s="77">
        <f t="shared" si="3"/>
        <v>0</v>
      </c>
    </row>
    <row r="21" spans="2:9" ht="12.75">
      <c r="B21" t="s">
        <v>188</v>
      </c>
      <c r="C21" t="s">
        <v>189</v>
      </c>
      <c r="D21">
        <f>COUNTIF(Comments!$N$2:$N$13,B21)</f>
        <v>0</v>
      </c>
      <c r="E21" s="60">
        <f>SUMPRODUCT((Comments!$N$2:$N$13=B21)*(Comments!$S$2:$S$13="Closed"))</f>
        <v>0</v>
      </c>
      <c r="F21">
        <f t="shared" si="2"/>
        <v>0</v>
      </c>
      <c r="H21" s="60">
        <f>SUMPRODUCT((Comments!$N$2:$N$13=B21)*(Comments!$V$2:$V$13="Accept"))+SUMPRODUCT((Comments!$N$2:$N$13=B21)*(Comments!$V$2:$V$13="Counter"))+SUMPRODUCT((Comments!$N$2:$N$13=B21)*(Comments!$V$2:$V$13="Reject"))</f>
        <v>0</v>
      </c>
      <c r="I21" s="77">
        <f t="shared" si="3"/>
        <v>0</v>
      </c>
    </row>
    <row r="22" spans="2:9" ht="12.75">
      <c r="B22" t="s">
        <v>86</v>
      </c>
      <c r="C22" t="s">
        <v>87</v>
      </c>
      <c r="D22">
        <f>COUNTIF(Comments!$N$2:$N$13,B22)</f>
        <v>0</v>
      </c>
      <c r="E22" s="60">
        <f>SUMPRODUCT((Comments!$N$2:$N$13=B22)*(Comments!$S$2:$S$13="Closed"))</f>
        <v>0</v>
      </c>
      <c r="F22">
        <f>D22-E22</f>
        <v>0</v>
      </c>
      <c r="H22" s="60">
        <f>SUMPRODUCT((Comments!$N$2:$N$13=B22)*(Comments!$V$2:$V$13="Accept"))+SUMPRODUCT((Comments!$N$2:$N$13=B22)*(Comments!$V$2:$V$13="Counter"))+SUMPRODUCT((Comments!$N$2:$N$13=B22)*(Comments!$V$2:$V$13="Reject"))</f>
        <v>0</v>
      </c>
      <c r="I22" s="77">
        <f t="shared" si="3"/>
        <v>0</v>
      </c>
    </row>
    <row r="23" spans="2:9" ht="12.75">
      <c r="B23" t="s">
        <v>132</v>
      </c>
      <c r="C23" t="s">
        <v>133</v>
      </c>
      <c r="D23">
        <f>COUNTIF(Comments!$N$2:$N$13,B23)</f>
        <v>0</v>
      </c>
      <c r="E23" s="60">
        <f>SUMPRODUCT((Comments!$N$2:$N$13=B23)*(Comments!$S$2:$S$13="Closed"))</f>
        <v>0</v>
      </c>
      <c r="F23">
        <f t="shared" si="2"/>
        <v>0</v>
      </c>
      <c r="H23" s="60">
        <f>SUMPRODUCT((Comments!$N$2:$N$13=B23)*(Comments!$V$2:$V$13="Accept"))+SUMPRODUCT((Comments!$N$2:$N$13=B23)*(Comments!$V$2:$V$13="Counter"))+SUMPRODUCT((Comments!$N$2:$N$13=B23)*(Comments!$V$2:$V$13="Reject"))</f>
        <v>0</v>
      </c>
      <c r="I23" s="77">
        <f t="shared" si="3"/>
        <v>0</v>
      </c>
    </row>
    <row r="24" spans="4:9" ht="12.75">
      <c r="D24">
        <f>SUM(D16:D23)</f>
        <v>0</v>
      </c>
      <c r="E24">
        <f>SUM(E16:E23)</f>
        <v>0</v>
      </c>
      <c r="F24">
        <f>SUM(F16:F23)</f>
        <v>0</v>
      </c>
      <c r="H24">
        <f>SUM(H16:H23)</f>
        <v>0</v>
      </c>
      <c r="I24">
        <f>SUM(I16:I23)</f>
        <v>0</v>
      </c>
    </row>
    <row r="25" s="44" customFormat="1" ht="18">
      <c r="A25" s="44" t="s">
        <v>190</v>
      </c>
    </row>
    <row r="26" spans="2:9" ht="12.75">
      <c r="B26" t="s">
        <v>67</v>
      </c>
      <c r="C26" t="s">
        <v>66</v>
      </c>
      <c r="D26">
        <f>COUNTIF(Comments!$N$2:$N$13,B26)</f>
        <v>0</v>
      </c>
      <c r="E26" s="60">
        <f>SUMPRODUCT((Comments!$N$2:$N$13=B26)*(Comments!$S$2:$S$13="Closed"))</f>
        <v>0</v>
      </c>
      <c r="F26">
        <f aca="true" t="shared" si="4" ref="F26:F33">D26-E26</f>
        <v>0</v>
      </c>
      <c r="H26" s="60">
        <f>SUMPRODUCT((Comments!$N$2:$N$13=B26)*(Comments!$V$2:$V$13="Accept"))+SUMPRODUCT((Comments!$N$2:$N$13=B26)*(Comments!$V$2:$V$13="Counter"))+SUMPRODUCT((Comments!$N$2:$N$13=B26)*(Comments!$V$2:$V$13="Reject"))</f>
        <v>0</v>
      </c>
      <c r="I26" s="77">
        <f aca="true" t="shared" si="5" ref="I26:I33">D26-H26</f>
        <v>0</v>
      </c>
    </row>
    <row r="27" spans="2:9" ht="12.75">
      <c r="B27" t="s">
        <v>115</v>
      </c>
      <c r="C27" t="s">
        <v>20</v>
      </c>
      <c r="D27">
        <f>COUNTIF(Comments!$N$2:$N$13,B27)</f>
        <v>0</v>
      </c>
      <c r="E27" s="60">
        <f>SUMPRODUCT((Comments!$N$2:$N$13=B27)*(Comments!$S$2:$S$13="Closed"))</f>
        <v>0</v>
      </c>
      <c r="F27">
        <f t="shared" si="4"/>
        <v>0</v>
      </c>
      <c r="H27" s="60">
        <f>SUMPRODUCT((Comments!$N$2:$N$13=B27)*(Comments!$V$2:$V$13="Accept"))+SUMPRODUCT((Comments!$N$2:$N$13=B27)*(Comments!$V$2:$V$13="Counter"))+SUMPRODUCT((Comments!$N$2:$N$13=B27)*(Comments!$V$2:$V$13="Reject"))</f>
        <v>0</v>
      </c>
      <c r="I27" s="77">
        <f t="shared" si="5"/>
        <v>0</v>
      </c>
    </row>
    <row r="28" spans="2:9" ht="12.75">
      <c r="B28" t="s">
        <v>18</v>
      </c>
      <c r="C28" t="s">
        <v>19</v>
      </c>
      <c r="D28">
        <f>COUNTIF(Comments!$N$2:$N$13,B28)</f>
        <v>0</v>
      </c>
      <c r="E28" s="60">
        <f>SUMPRODUCT((Comments!$N$2:$N$13=B28)*(Comments!$S$2:$S$13="Closed"))</f>
        <v>0</v>
      </c>
      <c r="F28">
        <f t="shared" si="4"/>
        <v>0</v>
      </c>
      <c r="H28" s="60">
        <f>SUMPRODUCT((Comments!$N$2:$N$13=B28)*(Comments!$V$2:$V$13="Accept"))+SUMPRODUCT((Comments!$N$2:$N$13=B28)*(Comments!$V$2:$V$13="Counter"))+SUMPRODUCT((Comments!$N$2:$N$13=B28)*(Comments!$V$2:$V$13="Reject"))</f>
        <v>0</v>
      </c>
      <c r="I28" s="77">
        <f t="shared" si="5"/>
        <v>0</v>
      </c>
    </row>
    <row r="29" spans="2:9" ht="12.75">
      <c r="B29" t="s">
        <v>192</v>
      </c>
      <c r="D29">
        <f>COUNTIF(Comments!$N$2:$N$13,B29)</f>
        <v>0</v>
      </c>
      <c r="E29" s="60">
        <f>SUMPRODUCT((Comments!$N$2:$N$13=B29)*(Comments!$S$2:$S$13="Closed"))</f>
        <v>0</v>
      </c>
      <c r="F29">
        <f t="shared" si="4"/>
        <v>0</v>
      </c>
      <c r="H29" s="60">
        <f>SUMPRODUCT((Comments!$N$2:$N$13=B29)*(Comments!$V$2:$V$13="Accept"))+SUMPRODUCT((Comments!$N$2:$N$13=B29)*(Comments!$V$2:$V$13="Counter"))+SUMPRODUCT((Comments!$N$2:$N$13=B29)*(Comments!$V$2:$V$13="Reject"))</f>
        <v>0</v>
      </c>
      <c r="I29" s="77">
        <f t="shared" si="5"/>
        <v>0</v>
      </c>
    </row>
    <row r="30" spans="2:9" ht="12.75">
      <c r="B30" t="s">
        <v>191</v>
      </c>
      <c r="D30">
        <f>COUNTIF(Comments!$N$2:$N$13,B30)</f>
        <v>0</v>
      </c>
      <c r="E30" s="60">
        <f>SUMPRODUCT((Comments!$N$2:$N$13=B30)*(Comments!$S$2:$S$13="Closed"))</f>
        <v>0</v>
      </c>
      <c r="F30">
        <f t="shared" si="4"/>
        <v>0</v>
      </c>
      <c r="H30" s="60">
        <f>SUMPRODUCT((Comments!$N$2:$N$13=B30)*(Comments!$V$2:$V$13="Accept"))+SUMPRODUCT((Comments!$N$2:$N$13=B30)*(Comments!$V$2:$V$13="Counter"))+SUMPRODUCT((Comments!$N$2:$N$13=B30)*(Comments!$V$2:$V$13="Reject"))</f>
        <v>0</v>
      </c>
      <c r="I30" s="77">
        <f t="shared" si="5"/>
        <v>0</v>
      </c>
    </row>
    <row r="31" spans="2:9" ht="12.75">
      <c r="B31" t="s">
        <v>114</v>
      </c>
      <c r="D31">
        <f>COUNTIF(Comments!$N$2:$N$13,B31)</f>
        <v>0</v>
      </c>
      <c r="E31" s="60">
        <f>SUMPRODUCT((Comments!$N$2:$N$13=B31)*(Comments!$S$2:$S$13="Closed"))</f>
        <v>0</v>
      </c>
      <c r="F31">
        <f t="shared" si="4"/>
        <v>0</v>
      </c>
      <c r="H31" s="60">
        <f>SUMPRODUCT((Comments!$N$2:$N$13=B31)*(Comments!$V$2:$V$13="Accept"))+SUMPRODUCT((Comments!$N$2:$N$13=B31)*(Comments!$V$2:$V$13="Counter"))+SUMPRODUCT((Comments!$N$2:$N$13=B31)*(Comments!$V$2:$V$13="Reject"))</f>
        <v>0</v>
      </c>
      <c r="I31" s="77">
        <f t="shared" si="5"/>
        <v>0</v>
      </c>
    </row>
    <row r="32" spans="2:9" ht="12.75">
      <c r="B32" t="s">
        <v>68</v>
      </c>
      <c r="D32">
        <f>COUNTIF(Comments!$N$2:$N$13,B32)</f>
        <v>0</v>
      </c>
      <c r="E32" s="60">
        <f>SUMPRODUCT((Comments!$N$2:$N$13=B32)*(Comments!$S$2:$S$13="Closed"))</f>
        <v>0</v>
      </c>
      <c r="F32">
        <f t="shared" si="4"/>
        <v>0</v>
      </c>
      <c r="H32" s="60">
        <f>SUMPRODUCT((Comments!$N$2:$N$13=B32)*(Comments!$V$2:$V$13="Accept"))+SUMPRODUCT((Comments!$N$2:$N$13=B32)*(Comments!$V$2:$V$13="Counter"))+SUMPRODUCT((Comments!$N$2:$N$13=B32)*(Comments!$V$2:$V$13="Reject"))</f>
        <v>0</v>
      </c>
      <c r="I32" s="77">
        <f t="shared" si="5"/>
        <v>0</v>
      </c>
    </row>
    <row r="33" spans="2:9" ht="12.75">
      <c r="B33" t="s">
        <v>26</v>
      </c>
      <c r="C33" t="s">
        <v>25</v>
      </c>
      <c r="D33">
        <f>COUNTIF(Comments!$N$2:$N$13,B33)</f>
        <v>0</v>
      </c>
      <c r="E33" s="60">
        <f>SUMPRODUCT((Comments!$N$2:$N$13=B33)*(Comments!$S$2:$S$13="Closed"))</f>
        <v>0</v>
      </c>
      <c r="F33">
        <f t="shared" si="4"/>
        <v>0</v>
      </c>
      <c r="H33" s="60">
        <f>SUMPRODUCT((Comments!$N$2:$N$13=B33)*(Comments!$V$2:$V$13="Accept"))+SUMPRODUCT((Comments!$N$2:$N$13=B33)*(Comments!$V$2:$V$13="Counter"))+SUMPRODUCT((Comments!$N$2:$N$13=B33)*(Comments!$V$2:$V$13="Reject"))</f>
        <v>0</v>
      </c>
      <c r="I33" s="77">
        <f t="shared" si="5"/>
        <v>0</v>
      </c>
    </row>
    <row r="34" spans="4:9" ht="12.75">
      <c r="D34">
        <f>SUM(D26:D33)</f>
        <v>0</v>
      </c>
      <c r="E34">
        <f>SUM(E26:E33)</f>
        <v>0</v>
      </c>
      <c r="F34">
        <f>SUM(F26:F33)</f>
        <v>0</v>
      </c>
      <c r="H34">
        <f>SUM(H26:H33)</f>
        <v>0</v>
      </c>
      <c r="I34">
        <f>SUM(I26:I33)</f>
        <v>0</v>
      </c>
    </row>
    <row r="35" s="44" customFormat="1" ht="18">
      <c r="A35" s="44" t="s">
        <v>27</v>
      </c>
    </row>
    <row r="36" spans="2:9" ht="12.75">
      <c r="B36" t="s">
        <v>203</v>
      </c>
      <c r="D36">
        <f>COUNTIF(Comments!$N$2:$N$13,B36)</f>
        <v>7</v>
      </c>
      <c r="E36" s="60">
        <f>SUMPRODUCT((Comments!$N$2:$N$13=B36)*(Comments!$S$2:$S$13="Closed"))</f>
        <v>0</v>
      </c>
      <c r="F36">
        <f aca="true" t="shared" si="6" ref="F36:F41">D36-E36</f>
        <v>7</v>
      </c>
      <c r="H36" s="60">
        <f>SUMPRODUCT((Comments!$N$2:$N$13=B36)*(Comments!$V$2:$V$13="Accept"))+SUMPRODUCT((Comments!$N$2:$N$13=B36)*(Comments!$V$2:$V$13="Counter"))+SUMPRODUCT((Comments!$N$2:$N$13=B36)*(Comments!$V$2:$V$13="Reject"))</f>
        <v>7</v>
      </c>
      <c r="I36" s="77">
        <f aca="true" t="shared" si="7" ref="I36:I41">D36-H36</f>
        <v>0</v>
      </c>
    </row>
    <row r="37" spans="2:9" ht="12.75">
      <c r="B37" t="s">
        <v>71</v>
      </c>
      <c r="D37">
        <f>COUNTIF(Comments!$N$2:$N$13,B37)</f>
        <v>3</v>
      </c>
      <c r="E37" s="60">
        <f>SUMPRODUCT((Comments!$N$2:$N$13=B37)*(Comments!$S$2:$S$13="Closed"))</f>
        <v>0</v>
      </c>
      <c r="F37">
        <f t="shared" si="6"/>
        <v>3</v>
      </c>
      <c r="H37" s="60">
        <f>SUMPRODUCT((Comments!$N$2:$N$13=B37)*(Comments!$V$2:$V$13="Accept"))+SUMPRODUCT((Comments!$N$2:$N$13=B37)*(Comments!$V$2:$V$13="Counter"))+SUMPRODUCT((Comments!$N$2:$N$13=B37)*(Comments!$V$2:$V$13="Reject"))</f>
        <v>3</v>
      </c>
      <c r="I37" s="77">
        <f t="shared" si="7"/>
        <v>0</v>
      </c>
    </row>
    <row r="38" spans="2:9" ht="12.75">
      <c r="B38" t="s">
        <v>233</v>
      </c>
      <c r="C38" t="s">
        <v>234</v>
      </c>
      <c r="D38">
        <f>COUNTIF(Comments!$N$2:$N$13,B38)</f>
        <v>1</v>
      </c>
      <c r="E38" s="60">
        <f>SUMPRODUCT((Comments!$N$2:$N$13=B38)*(Comments!$S$2:$S$13="Closed"))</f>
        <v>0</v>
      </c>
      <c r="F38">
        <f t="shared" si="6"/>
        <v>1</v>
      </c>
      <c r="H38" s="60">
        <f>SUMPRODUCT((Comments!$N$2:$N$13=B38)*(Comments!$V$2:$V$13="Accept"))+SUMPRODUCT((Comments!$N$2:$N$13=B38)*(Comments!$V$2:$V$13="Counter"))+SUMPRODUCT((Comments!$N$2:$N$13=B38)*(Comments!$V$2:$V$13="Reject"))</f>
        <v>1</v>
      </c>
      <c r="I38" s="77">
        <f t="shared" si="7"/>
        <v>0</v>
      </c>
    </row>
    <row r="39" spans="2:9" ht="12.75">
      <c r="B39" t="s">
        <v>8</v>
      </c>
      <c r="C39" t="s">
        <v>9</v>
      </c>
      <c r="D39">
        <f>COUNTIF(Comments!$N$2:$N$13,B39)</f>
        <v>0</v>
      </c>
      <c r="E39" s="60">
        <f>SUMPRODUCT((Comments!$N$2:$N$13=B39)*(Comments!$S$2:$S$13="Closed"))</f>
        <v>0</v>
      </c>
      <c r="F39">
        <f t="shared" si="6"/>
        <v>0</v>
      </c>
      <c r="H39" s="60">
        <f>SUMPRODUCT((Comments!$N$2:$N$13=B39)*(Comments!$V$2:$V$13="Accept"))+SUMPRODUCT((Comments!$N$2:$N$13=B39)*(Comments!$V$2:$V$13="Counter"))+SUMPRODUCT((Comments!$N$2:$N$13=B39)*(Comments!$V$2:$V$13="Reject"))</f>
        <v>0</v>
      </c>
      <c r="I39" s="77">
        <f t="shared" si="7"/>
        <v>0</v>
      </c>
    </row>
    <row r="40" spans="2:9" ht="12.75">
      <c r="B40" t="s">
        <v>29</v>
      </c>
      <c r="C40" t="s">
        <v>28</v>
      </c>
      <c r="D40">
        <f>COUNTIF(Comments!$N$2:$N$13,B40)</f>
        <v>0</v>
      </c>
      <c r="E40" s="60">
        <f>SUMPRODUCT((Comments!$N$2:$N$13=B40)*(Comments!$S$2:$S$13="Closed"))</f>
        <v>0</v>
      </c>
      <c r="F40">
        <f t="shared" si="6"/>
        <v>0</v>
      </c>
      <c r="H40" s="60">
        <f>SUMPRODUCT((Comments!$N$2:$N$13=B40)*(Comments!$V$2:$V$13="Accept"))+SUMPRODUCT((Comments!$N$2:$N$13=B40)*(Comments!$V$2:$V$13="Counter"))+SUMPRODUCT((Comments!$N$2:$N$13=B40)*(Comments!$V$2:$V$13="Reject"))</f>
        <v>0</v>
      </c>
      <c r="I40" s="77">
        <f t="shared" si="7"/>
        <v>0</v>
      </c>
    </row>
    <row r="41" spans="2:9" ht="12.75">
      <c r="B41" t="s">
        <v>30</v>
      </c>
      <c r="C41" t="s">
        <v>238</v>
      </c>
      <c r="D41">
        <f>COUNTIF(Comments!$N$2:$N$13,B41)</f>
        <v>0</v>
      </c>
      <c r="E41" s="60">
        <f>SUMPRODUCT((Comments!$N$2:$N$13=B41)*(Comments!$S$2:$S$13="Closed"))</f>
        <v>0</v>
      </c>
      <c r="F41">
        <f t="shared" si="6"/>
        <v>0</v>
      </c>
      <c r="H41" s="60">
        <f>SUMPRODUCT((Comments!$N$2:$N$13=B41)*(Comments!$V$2:$V$13="Accept"))+SUMPRODUCT((Comments!$N$2:$N$13=B41)*(Comments!$V$2:$V$13="Counter"))+SUMPRODUCT((Comments!$N$2:$N$13=B41)*(Comments!$V$2:$V$13="Reject"))</f>
        <v>0</v>
      </c>
      <c r="I41" s="77">
        <f t="shared" si="7"/>
        <v>0</v>
      </c>
    </row>
    <row r="42" spans="4:9" ht="12.75">
      <c r="D42">
        <f>SUM(D36:D41)</f>
        <v>11</v>
      </c>
      <c r="E42">
        <f>SUM(E36:E41)</f>
        <v>0</v>
      </c>
      <c r="F42">
        <f>SUM(F36:F41)</f>
        <v>11</v>
      </c>
      <c r="H42">
        <f>SUM(H36:H41)</f>
        <v>11</v>
      </c>
      <c r="I42">
        <f>SUM(I36:I41)</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60</v>
      </c>
    </row>
    <row r="2" ht="12.75">
      <c r="I2" s="50"/>
    </row>
    <row r="3" ht="13.5" thickBot="1"/>
    <row r="4" spans="2:6" ht="14.25" thickBot="1" thickTop="1">
      <c r="B4" s="32" t="s">
        <v>7</v>
      </c>
      <c r="C4" s="33" t="s">
        <v>21</v>
      </c>
      <c r="D4" s="33" t="s">
        <v>55</v>
      </c>
      <c r="E4" s="33" t="s">
        <v>56</v>
      </c>
      <c r="F4" s="34" t="s">
        <v>22</v>
      </c>
    </row>
    <row r="5" spans="2:6" ht="13.5" thickTop="1">
      <c r="B5" s="35" t="s">
        <v>141</v>
      </c>
      <c r="C5" s="36">
        <f>C6+C7</f>
        <v>11</v>
      </c>
      <c r="D5" s="36">
        <f>D6+D7</f>
        <v>11</v>
      </c>
      <c r="E5" s="36">
        <f>E6+E7</f>
        <v>0</v>
      </c>
      <c r="F5" s="37">
        <f aca="true" t="shared" si="0" ref="F5:F12">E5/C5</f>
        <v>0</v>
      </c>
    </row>
    <row r="6" spans="2:6" ht="12.75">
      <c r="B6" s="35" t="s">
        <v>177</v>
      </c>
      <c r="C6" s="36">
        <f>COUNTIF(Comments!$K$2:$K$13,"E")</f>
        <v>3</v>
      </c>
      <c r="D6" s="41">
        <f>SUMPRODUCT((Comments!$K$2:$K$13="E")*(Comments!$S$2:$S$13="Open"))</f>
        <v>3</v>
      </c>
      <c r="E6" s="41">
        <f>SUMPRODUCT((Comments!$K$2:$K$13="E")*(Comments!$S$2:$S$13="Closed"))</f>
        <v>0</v>
      </c>
      <c r="F6" s="37">
        <f t="shared" si="0"/>
        <v>0</v>
      </c>
    </row>
    <row r="7" spans="2:6" ht="13.5" thickBot="1">
      <c r="B7" s="38" t="s">
        <v>178</v>
      </c>
      <c r="C7" s="36">
        <f>COUNTIF(Comments!$K$2:$K$13,"T")</f>
        <v>8</v>
      </c>
      <c r="D7" s="42">
        <f>SUMPRODUCT((Comments!$K$2:$K$13="T")*(Comments!$S$2:$S$13="Open"))</f>
        <v>8</v>
      </c>
      <c r="E7" s="42">
        <f>SUMPRODUCT((Comments!$K$2:$K$13="T")*(Comments!$S$2:$S$13="Closed"))</f>
        <v>0</v>
      </c>
      <c r="F7" s="40">
        <f t="shared" si="0"/>
        <v>0</v>
      </c>
    </row>
    <row r="8" spans="2:6" ht="13.5" thickTop="1">
      <c r="B8" s="35" t="s">
        <v>141</v>
      </c>
      <c r="C8" s="46">
        <f>SUM(C9:C12)</f>
        <v>11</v>
      </c>
      <c r="D8" s="46">
        <f>SUM(D9:D12)</f>
        <v>11</v>
      </c>
      <c r="E8" s="46">
        <f>SUM(E9:E12)</f>
        <v>0</v>
      </c>
      <c r="F8" s="49">
        <f t="shared" si="0"/>
        <v>0</v>
      </c>
    </row>
    <row r="9" spans="2:6" ht="12.75">
      <c r="B9" s="47" t="s">
        <v>145</v>
      </c>
      <c r="C9" s="36">
        <f>COUNTIF(Comments!$M$2:$M$13,"General")</f>
        <v>0</v>
      </c>
      <c r="D9" s="60">
        <f>SUMPRODUCT((Comments!$M$2:$M$13="General")*(Comments!$S$2:$S$13="Open"))</f>
        <v>0</v>
      </c>
      <c r="E9" s="60">
        <f>SUMPRODUCT((Comments!$M$2:$M$13="General")*(Comments!$S$2:$S$13="Closed"))</f>
        <v>0</v>
      </c>
      <c r="F9" s="37" t="e">
        <f t="shared" si="0"/>
        <v>#DIV/0!</v>
      </c>
    </row>
    <row r="10" spans="2:6" ht="12.75">
      <c r="B10" s="47" t="s">
        <v>146</v>
      </c>
      <c r="C10" s="36">
        <f>COUNTIF(Comments!$M$2:$M$13,"MAC")</f>
        <v>0</v>
      </c>
      <c r="D10" s="41">
        <f>SUMPRODUCT((Comments!$M$2:$M$13="MAC")*(Comments!$S$2:$S$13="Open"))</f>
        <v>0</v>
      </c>
      <c r="E10" s="41">
        <f>SUMPRODUCT((Comments!$M$2:$M$13="MAC")*(Comments!$S$2:$S$13="Closed"))</f>
        <v>0</v>
      </c>
      <c r="F10" s="37" t="e">
        <f t="shared" si="0"/>
        <v>#DIV/0!</v>
      </c>
    </row>
    <row r="11" spans="2:6" ht="12.75">
      <c r="B11" s="47" t="s">
        <v>69</v>
      </c>
      <c r="C11" s="36">
        <f>COUNTIF(Comments!$M$2:$M$13,"RFI")</f>
        <v>0</v>
      </c>
      <c r="D11" s="41">
        <f>SUMPRODUCT((Comments!$M$2:$M$13="RFI")*(Comments!$S$2:$S$13="Open"))</f>
        <v>0</v>
      </c>
      <c r="E11" s="41">
        <f>SUMPRODUCT((Comments!$M$2:$M$13="RFI")*(Comments!$S$2:$S$13="Closed"))</f>
        <v>0</v>
      </c>
      <c r="F11" s="37" t="e">
        <f t="shared" si="0"/>
        <v>#DIV/0!</v>
      </c>
    </row>
    <row r="12" spans="2:6" ht="13.5" thickBot="1">
      <c r="B12" s="48" t="s">
        <v>70</v>
      </c>
      <c r="C12" s="39">
        <f>COUNTIF(Comments!$M$2:$M$13,"Security")</f>
        <v>11</v>
      </c>
      <c r="D12" s="42">
        <f>SUMPRODUCT((Comments!$M$2:$M$13="Security")*(Comments!$S$2:$S$13="Open"))</f>
        <v>11</v>
      </c>
      <c r="E12" s="42">
        <f>SUMPRODUCT((Comments!$M$2:$M$13="Security")*(Comments!$S$2:$S$13="Closed"))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32</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137</v>
      </c>
    </row>
    <row r="5" spans="1:8" ht="12.75">
      <c r="A5" s="31">
        <v>1</v>
      </c>
      <c r="B5" s="31" t="s">
        <v>143</v>
      </c>
      <c r="C5" s="31"/>
      <c r="D5" s="31"/>
      <c r="E5" s="31"/>
      <c r="F5" s="31"/>
      <c r="G5" s="31"/>
      <c r="H5" s="31"/>
    </row>
    <row r="6" ht="12.75">
      <c r="A6" s="31"/>
    </row>
    <row r="7" spans="1:2" ht="12.75">
      <c r="A7" s="31">
        <v>2</v>
      </c>
      <c r="B7" s="31" t="s">
        <v>200</v>
      </c>
    </row>
    <row r="8" ht="12.75">
      <c r="A8" s="31"/>
    </row>
    <row r="9" spans="1:3" ht="12.75">
      <c r="A9" s="31">
        <v>3</v>
      </c>
      <c r="B9" s="31" t="s">
        <v>147</v>
      </c>
      <c r="C9" s="31"/>
    </row>
    <row r="10" spans="1:3" ht="12.75">
      <c r="A10" s="31"/>
      <c r="B10" s="31"/>
      <c r="C10" s="31" t="s">
        <v>138</v>
      </c>
    </row>
    <row r="11" spans="1:3" ht="12.75">
      <c r="A11" s="31"/>
      <c r="B11" s="31"/>
      <c r="C11" s="31" t="s">
        <v>139</v>
      </c>
    </row>
    <row r="12" spans="1:3" ht="12.75">
      <c r="A12" s="31"/>
      <c r="B12" s="31"/>
      <c r="C12" s="31" t="s">
        <v>140</v>
      </c>
    </row>
    <row r="13" spans="1:3" ht="12.75">
      <c r="A13" s="31"/>
      <c r="B13" s="31"/>
      <c r="C13" s="31" t="s">
        <v>181</v>
      </c>
    </row>
    <row r="14" spans="1:3" ht="12.75">
      <c r="A14" s="31"/>
      <c r="B14" s="31"/>
      <c r="C14" s="31" t="s">
        <v>201</v>
      </c>
    </row>
    <row r="15" ht="12.75">
      <c r="A15" s="31"/>
    </row>
    <row r="16" spans="1:2" ht="12.75">
      <c r="A16" s="31">
        <v>4</v>
      </c>
      <c r="B16" s="31" t="s">
        <v>209</v>
      </c>
    </row>
    <row r="17" spans="1:2" ht="12.75">
      <c r="A17" s="31"/>
      <c r="B17" s="31" t="s">
        <v>10</v>
      </c>
    </row>
    <row r="18" ht="12.75">
      <c r="A18" s="31"/>
    </row>
    <row r="19" spans="1:3" ht="12.75">
      <c r="A19" s="31">
        <v>5</v>
      </c>
      <c r="B19" s="31" t="s">
        <v>6</v>
      </c>
      <c r="C19" s="31"/>
    </row>
    <row r="20" spans="1:3" ht="12.75">
      <c r="A20" s="31"/>
      <c r="B20" s="31"/>
      <c r="C20" s="31"/>
    </row>
    <row r="21" spans="1:3" ht="12.75">
      <c r="A21" s="31">
        <v>6</v>
      </c>
      <c r="B21" s="31" t="s">
        <v>206</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215</v>
      </c>
      <c r="B1" s="19"/>
    </row>
    <row r="2" spans="1:2" ht="13.5" thickBot="1">
      <c r="A2" s="20" t="s">
        <v>216</v>
      </c>
      <c r="B2" s="21" t="s">
        <v>217</v>
      </c>
    </row>
    <row r="3" spans="1:2" ht="25.5">
      <c r="A3" s="22" t="s">
        <v>42</v>
      </c>
      <c r="B3" s="23" t="s">
        <v>210</v>
      </c>
    </row>
    <row r="4" spans="1:2" ht="12.75">
      <c r="A4" s="24" t="s">
        <v>151</v>
      </c>
      <c r="B4" s="25" t="s">
        <v>211</v>
      </c>
    </row>
    <row r="5" spans="1:2" ht="12.75">
      <c r="A5" s="26" t="s">
        <v>159</v>
      </c>
      <c r="B5" s="25" t="s">
        <v>212</v>
      </c>
    </row>
    <row r="6" spans="1:2" ht="12.75">
      <c r="A6" s="26" t="s">
        <v>57</v>
      </c>
      <c r="B6" s="25" t="s">
        <v>213</v>
      </c>
    </row>
    <row r="7" spans="1:2" ht="12.75">
      <c r="A7" s="26" t="s">
        <v>58</v>
      </c>
      <c r="B7" s="25" t="s">
        <v>171</v>
      </c>
    </row>
    <row r="8" spans="1:2" ht="12.75">
      <c r="A8" s="24" t="s">
        <v>158</v>
      </c>
      <c r="B8" s="25" t="s">
        <v>172</v>
      </c>
    </row>
    <row r="9" spans="1:2" ht="12.75">
      <c r="A9" s="24" t="s">
        <v>173</v>
      </c>
      <c r="B9" s="25" t="s">
        <v>218</v>
      </c>
    </row>
    <row r="10" spans="1:2" ht="76.5">
      <c r="A10" s="24" t="s">
        <v>198</v>
      </c>
      <c r="B10" s="25" t="s">
        <v>240</v>
      </c>
    </row>
    <row r="11" spans="1:2" ht="25.5">
      <c r="A11" s="24" t="s">
        <v>199</v>
      </c>
      <c r="B11" s="25" t="s">
        <v>54</v>
      </c>
    </row>
    <row r="12" spans="1:2" ht="25.5">
      <c r="A12" s="24" t="s">
        <v>49</v>
      </c>
      <c r="B12" s="25" t="s">
        <v>197</v>
      </c>
    </row>
    <row r="13" spans="1:2" ht="25.5">
      <c r="A13" s="24" t="s">
        <v>50</v>
      </c>
      <c r="B13" s="25" t="s">
        <v>174</v>
      </c>
    </row>
    <row r="14" spans="1:2" ht="25.5">
      <c r="A14" s="24" t="s">
        <v>51</v>
      </c>
      <c r="B14" s="25" t="s">
        <v>214</v>
      </c>
    </row>
    <row r="15" spans="1:2" ht="12.75">
      <c r="A15" s="24" t="s">
        <v>35</v>
      </c>
      <c r="B15" s="25" t="s">
        <v>24</v>
      </c>
    </row>
    <row r="16" spans="1:2" ht="12.75">
      <c r="A16" s="27" t="s">
        <v>52</v>
      </c>
      <c r="B16" s="25" t="s">
        <v>204</v>
      </c>
    </row>
    <row r="17" spans="1:2" ht="12.75">
      <c r="A17" s="24" t="s">
        <v>205</v>
      </c>
      <c r="B17" s="25" t="s">
        <v>154</v>
      </c>
    </row>
    <row r="18" spans="1:2" ht="25.5">
      <c r="A18" s="24" t="s">
        <v>155</v>
      </c>
      <c r="B18" s="25" t="s">
        <v>156</v>
      </c>
    </row>
    <row r="19" spans="1:2" ht="76.5">
      <c r="A19" s="24" t="s">
        <v>44</v>
      </c>
      <c r="B19" s="25" t="s">
        <v>152</v>
      </c>
    </row>
    <row r="20" spans="1:2" ht="12.75">
      <c r="A20" s="24" t="s">
        <v>45</v>
      </c>
      <c r="B20" s="25" t="s">
        <v>153</v>
      </c>
    </row>
    <row r="21" spans="1:2" ht="51">
      <c r="A21" s="28" t="s">
        <v>46</v>
      </c>
      <c r="B21" s="29" t="s">
        <v>196</v>
      </c>
    </row>
    <row r="22" spans="1:2" ht="38.25">
      <c r="A22" s="31" t="s">
        <v>23</v>
      </c>
      <c r="B22" s="29" t="s">
        <v>208</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4"/>
  <sheetViews>
    <sheetView zoomScalePageLayoutView="0" workbookViewId="0" topLeftCell="A1">
      <pane ySplit="1" topLeftCell="BM2" activePane="bottomLeft" state="frozen"/>
      <selection pane="topLeft" activeCell="A1" sqref="A1"/>
      <selection pane="bottomLeft" activeCell="C10" sqref="C10"/>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33</v>
      </c>
      <c r="B1" s="15" t="s">
        <v>34</v>
      </c>
      <c r="C1" s="16" t="s">
        <v>62</v>
      </c>
    </row>
    <row r="3" spans="1:3" ht="38.25">
      <c r="A3" s="17" t="s">
        <v>63</v>
      </c>
      <c r="B3" s="13">
        <v>40289</v>
      </c>
      <c r="C3" s="12" t="s">
        <v>90</v>
      </c>
    </row>
    <row r="4" spans="1:3" ht="38.25">
      <c r="A4" s="17" t="s">
        <v>224</v>
      </c>
      <c r="B4" s="13">
        <v>40290</v>
      </c>
      <c r="C4" s="12" t="s">
        <v>226</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Dan Harkins</cp:lastModifiedBy>
  <cp:lastPrinted>2004-11-19T06:33:11Z</cp:lastPrinted>
  <dcterms:created xsi:type="dcterms:W3CDTF">2004-07-14T16:37:20Z</dcterms:created>
  <dcterms:modified xsi:type="dcterms:W3CDTF">2010-05-18T23:43:54Z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