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5" yWindow="-15" windowWidth="15120" windowHeight="3405" firstSheet="2" activeTab="1"/>
  </bookViews>
  <sheets>
    <sheet name="Title" sheetId="1" r:id="rId1"/>
    <sheet name="Master" sheetId="3" r:id="rId2"/>
    <sheet name="OverView" sheetId="5" r:id="rId3"/>
    <sheet name="Revisions" sheetId="4" r:id="rId4"/>
    <sheet name="References" sheetId="6" r:id="rId5"/>
    <sheet name="Sheet2" sheetId="8" r:id="rId6"/>
  </sheets>
  <definedNames>
    <definedName name="_xlnm._FilterDatabase" localSheetId="1" hidden="1">Master!$A$1:$X$1</definedName>
    <definedName name="OLE_LINK1" localSheetId="1">Master!#REF!</definedName>
    <definedName name="OLE_LINK3" localSheetId="1">Master!#REF!</definedName>
    <definedName name="_xlnm.Print_Titles" localSheetId="1">Master!#REF!</definedName>
  </definedNames>
  <calcPr calcId="125725"/>
</workbook>
</file>

<file path=xl/calcChain.xml><?xml version="1.0" encoding="utf-8"?>
<calcChain xmlns="http://schemas.openxmlformats.org/spreadsheetml/2006/main">
  <c r="B2" i="5"/>
  <c r="C2"/>
  <c r="D2"/>
  <c r="E2"/>
  <c r="G2"/>
  <c r="B3"/>
  <c r="G26" s="1"/>
  <c r="C3"/>
  <c r="D3"/>
  <c r="E3"/>
  <c r="G3"/>
  <c r="O3"/>
  <c r="B4"/>
  <c r="C4"/>
  <c r="D4"/>
  <c r="E4"/>
  <c r="G4"/>
  <c r="B5"/>
  <c r="C5"/>
  <c r="D5"/>
  <c r="E5"/>
  <c r="H5" s="1"/>
  <c r="G5"/>
  <c r="B6"/>
  <c r="C6"/>
  <c r="D6"/>
  <c r="E6"/>
  <c r="G6"/>
  <c r="B7"/>
  <c r="C7"/>
  <c r="D7"/>
  <c r="E7"/>
  <c r="G7"/>
  <c r="B8"/>
  <c r="C8"/>
  <c r="D8"/>
  <c r="E8"/>
  <c r="G8"/>
  <c r="B9"/>
  <c r="C9"/>
  <c r="D9"/>
  <c r="E9"/>
  <c r="G9"/>
  <c r="H9"/>
  <c r="M9" s="1"/>
  <c r="B10"/>
  <c r="C10"/>
  <c r="D10"/>
  <c r="E10"/>
  <c r="G10"/>
  <c r="B11"/>
  <c r="C11"/>
  <c r="D11"/>
  <c r="E11"/>
  <c r="G11"/>
  <c r="B12"/>
  <c r="H12" s="1"/>
  <c r="C12"/>
  <c r="D12"/>
  <c r="E12"/>
  <c r="G12"/>
  <c r="B13"/>
  <c r="C13"/>
  <c r="D13"/>
  <c r="E13"/>
  <c r="G13"/>
  <c r="B14"/>
  <c r="C14"/>
  <c r="D14"/>
  <c r="E14"/>
  <c r="G14"/>
  <c r="B15"/>
  <c r="C15"/>
  <c r="D15"/>
  <c r="E15"/>
  <c r="G15"/>
  <c r="B16"/>
  <c r="C16"/>
  <c r="D16"/>
  <c r="E16"/>
  <c r="G16"/>
  <c r="B17"/>
  <c r="C17"/>
  <c r="D17"/>
  <c r="E17"/>
  <c r="G17"/>
  <c r="B18"/>
  <c r="C18"/>
  <c r="D18"/>
  <c r="E18"/>
  <c r="G18"/>
  <c r="H18"/>
  <c r="M18" s="1"/>
  <c r="B19"/>
  <c r="C19"/>
  <c r="D19"/>
  <c r="E19"/>
  <c r="E22"/>
  <c r="G19"/>
  <c r="H20"/>
  <c r="M20"/>
  <c r="H21"/>
  <c r="M21"/>
  <c r="C22"/>
  <c r="B25"/>
  <c r="B26"/>
  <c r="B27"/>
  <c r="G27"/>
  <c r="H27"/>
  <c r="B28"/>
  <c r="G28"/>
  <c r="B29"/>
  <c r="G29"/>
  <c r="G30"/>
  <c r="H30"/>
  <c r="G31"/>
  <c r="H31"/>
  <c r="J31"/>
  <c r="G32"/>
  <c r="D33"/>
  <c r="G33"/>
  <c r="G34"/>
  <c r="G35"/>
  <c r="G36"/>
  <c r="H36"/>
  <c r="B37"/>
  <c r="G37"/>
  <c r="H37"/>
  <c r="H2"/>
  <c r="H7"/>
  <c r="M7" s="1"/>
  <c r="G22"/>
  <c r="D22"/>
  <c r="H16"/>
  <c r="M16" s="1"/>
  <c r="H33"/>
  <c r="H17"/>
  <c r="M17"/>
  <c r="H15"/>
  <c r="H32"/>
  <c r="H14"/>
  <c r="M14"/>
  <c r="H11"/>
  <c r="M11"/>
  <c r="H8"/>
  <c r="M8"/>
  <c r="H34"/>
  <c r="H19"/>
  <c r="H35" s="1"/>
  <c r="H10"/>
  <c r="M10" s="1"/>
  <c r="H6"/>
  <c r="M6" s="1"/>
  <c r="M19"/>
  <c r="M15"/>
  <c r="M2"/>
  <c r="H13"/>
  <c r="H4"/>
  <c r="M13"/>
  <c r="M5" l="1"/>
  <c r="H25"/>
  <c r="H29"/>
  <c r="H28"/>
  <c r="G25"/>
  <c r="G38" s="1"/>
  <c r="M4"/>
  <c r="H3"/>
  <c r="B22"/>
  <c r="H26" l="1"/>
  <c r="H38" s="1"/>
  <c r="H22"/>
  <c r="D34" s="1"/>
  <c r="M3"/>
  <c r="D29"/>
</calcChain>
</file>

<file path=xl/comments1.xml><?xml version="1.0" encoding="utf-8"?>
<comments xmlns="http://schemas.openxmlformats.org/spreadsheetml/2006/main">
  <authors>
    <author>Paul Gray</author>
  </authors>
  <commentList>
    <comment ref="A1" authorId="0">
      <text>
        <r>
          <rPr>
            <b/>
            <sz val="8"/>
            <color indexed="81"/>
            <rFont val="Tahoma"/>
            <family val="2"/>
          </rPr>
          <t xml:space="preserve">These categories shall match the category column on the master spreadsheet
</t>
        </r>
        <r>
          <rPr>
            <sz val="8"/>
            <color indexed="81"/>
            <rFont val="Tahoma"/>
            <family val="2"/>
          </rPr>
          <t xml:space="preserve">
</t>
        </r>
      </text>
    </comment>
    <comment ref="L1" authorId="0">
      <text>
        <r>
          <rPr>
            <b/>
            <sz val="8"/>
            <color indexed="81"/>
            <rFont val="Tahoma"/>
            <family val="2"/>
          </rPr>
          <t xml:space="preserve">Notes about the categories, this field is only for documentation.
</t>
        </r>
        <r>
          <rPr>
            <sz val="8"/>
            <color indexed="81"/>
            <rFont val="Tahoma"/>
            <family val="2"/>
          </rPr>
          <t xml:space="preserve">
</t>
        </r>
      </text>
    </comment>
    <comment ref="D31" authorId="0">
      <text>
        <r>
          <rPr>
            <sz val="8"/>
            <color indexed="81"/>
            <rFont val="Tahoma"/>
            <family val="2"/>
          </rPr>
          <t># of work remaining comments (blank or deferred) that have somethinng in the "same as" column</t>
        </r>
        <r>
          <rPr>
            <b/>
            <sz val="8"/>
            <color indexed="81"/>
            <rFont val="Tahoma"/>
            <family val="2"/>
          </rPr>
          <t xml:space="preserve">
</t>
        </r>
      </text>
    </comment>
    <comment ref="A37" authorId="0">
      <text>
        <r>
          <rPr>
            <b/>
            <sz val="8"/>
            <color indexed="81"/>
            <rFont val="Tahoma"/>
            <family val="2"/>
          </rPr>
          <t xml:space="preserve">You will need to plug in the total row number, I did not take the time to figure out the proper calc.
</t>
        </r>
        <r>
          <rPr>
            <sz val="8"/>
            <color indexed="81"/>
            <rFont val="Tahoma"/>
            <family val="2"/>
          </rPr>
          <t xml:space="preserve">
</t>
        </r>
      </text>
    </comment>
  </commentList>
</comments>
</file>

<file path=xl/sharedStrings.xml><?xml version="1.0" encoding="utf-8"?>
<sst xmlns="http://schemas.openxmlformats.org/spreadsheetml/2006/main" count="462" uniqueCount="263">
  <si>
    <t xml:space="preserve">Clause 9. </t>
  </si>
  <si>
    <t>MAC sublayer functional</t>
  </si>
  <si>
    <t>General / Admin</t>
  </si>
  <si>
    <t>General / Document</t>
  </si>
  <si>
    <t>Kain</t>
  </si>
  <si>
    <t>Roebuck</t>
  </si>
  <si>
    <t>Annex A</t>
  </si>
  <si>
    <t>Annex D</t>
  </si>
  <si>
    <t>Kavner</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</si>
  <si>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</si>
  <si>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</si>
  <si>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</si>
  <si>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</si>
  <si>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</si>
  <si>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</si>
  <si>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</si>
  <si>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</si>
  <si>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</si>
  <si>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</si>
  <si>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</si>
  <si>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</si>
  <si>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</si>
  <si>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</si>
  <si>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</si>
  <si>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</si>
  <si>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</si>
  <si>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</si>
  <si>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</si>
  <si>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</si>
  <si>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</si>
  <si>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</si>
  <si>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</si>
  <si>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</si>
  <si>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</si>
  <si>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</si>
  <si>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</si>
  <si>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Process to follow when updating master spreadsheet</t>
  </si>
  <si>
    <t>Editor
Done</t>
  </si>
  <si>
    <t>Editor
To Do</t>
  </si>
  <si>
    <t>Remaining</t>
  </si>
  <si>
    <t>same as</t>
  </si>
  <si>
    <t>General Editorial</t>
  </si>
  <si>
    <t>Process to following when merging LB comments</t>
  </si>
  <si>
    <t>Kenney</t>
  </si>
  <si>
    <t>Clause 6</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</si>
  <si>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</si>
  <si>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</si>
  <si>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</si>
  <si>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</si>
  <si>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</si>
  <si>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</si>
  <si>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</si>
  <si>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</si>
  <si>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</si>
  <si>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</si>
  <si>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</si>
  <si>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</si>
  <si>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</si>
  <si>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</si>
  <si>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</si>
  <si>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</si>
  <si>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</si>
  <si>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</si>
  <si>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</si>
  <si>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</si>
  <si>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</si>
  <si>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</si>
  <si>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</si>
  <si>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</si>
  <si>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</si>
  <si>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</si>
  <si>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</si>
  <si>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Date</t>
  </si>
  <si>
    <t>Submission</t>
  </si>
  <si>
    <t>McNew</t>
  </si>
  <si>
    <t>11-25 comments remaining</t>
  </si>
  <si>
    <t>6 - 10 comment remaining</t>
  </si>
  <si>
    <t>Meeting</t>
  </si>
  <si>
    <t>Author</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</si>
  <si>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</si>
  <si>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</si>
  <si>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</si>
  <si>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</si>
  <si>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</si>
  <si>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</si>
  <si>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</si>
  <si>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</si>
  <si>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</si>
  <si>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</si>
  <si>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</si>
  <si>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</si>
  <si>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</si>
  <si>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</si>
  <si>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</si>
  <si>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</si>
  <si>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</si>
  <si>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</si>
  <si>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</si>
  <si>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</si>
  <si>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</si>
  <si>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</si>
  <si>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</si>
  <si>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t>
  </si>
  <si>
    <t>Category</t>
  </si>
  <si>
    <t>Editorial</t>
  </si>
  <si>
    <t>Total</t>
  </si>
  <si>
    <t>Total:</t>
  </si>
  <si>
    <t>Deferred</t>
  </si>
  <si>
    <t>General</t>
  </si>
  <si>
    <t>References, Errors</t>
  </si>
  <si>
    <t xml:space="preserve"> </t>
  </si>
  <si>
    <t xml:space="preserve">Clause 1. </t>
  </si>
  <si>
    <t xml:space="preserve">Overview  </t>
  </si>
  <si>
    <t>MAC service definition</t>
  </si>
  <si>
    <t xml:space="preserve">Technical-Required </t>
  </si>
  <si>
    <t>Yes</t>
  </si>
  <si>
    <t>No</t>
  </si>
  <si>
    <t>Comment ID</t>
  </si>
  <si>
    <t>Comment #</t>
  </si>
  <si>
    <t>Name</t>
  </si>
  <si>
    <t>Email</t>
  </si>
  <si>
    <t>Phone</t>
  </si>
  <si>
    <t>Style</t>
  </si>
  <si>
    <t>Index #</t>
  </si>
  <si>
    <t>Classification</t>
  </si>
  <si>
    <t>Vote</t>
  </si>
  <si>
    <t>Affiliation</t>
  </si>
  <si>
    <t>Page</t>
  </si>
  <si>
    <t>Subclause</t>
  </si>
  <si>
    <t>Line</t>
  </si>
  <si>
    <t>File</t>
  </si>
  <si>
    <t>Must Be Satisfied</t>
  </si>
  <si>
    <t>Proposed Change</t>
  </si>
  <si>
    <t>Resolution Status</t>
  </si>
  <si>
    <t>Other2</t>
  </si>
  <si>
    <t>Other3</t>
  </si>
  <si>
    <t>Individual</t>
  </si>
  <si>
    <t>Approve</t>
  </si>
  <si>
    <t>Technical</t>
  </si>
  <si>
    <t>Producer</t>
  </si>
  <si>
    <t>Disapprove</t>
  </si>
  <si>
    <t>Stephens, Adrian P</t>
  </si>
  <si>
    <t>Intel Corporation</t>
  </si>
  <si>
    <t>Lee Armstrong (US DoT)</t>
  </si>
  <si>
    <t xml:space="preserve"> Lee Armstrong</t>
  </si>
  <si>
    <r>
      <t>Armstrong Consulting</t>
    </r>
    <r>
      <rPr>
        <sz val="12"/>
        <rFont val="Times New Roman"/>
        <family val="1"/>
      </rPr>
      <t>, Inc</t>
    </r>
  </si>
  <si>
    <t>132 Fomer Road, Southampton, MA 01073</t>
  </si>
  <si>
    <t>Phone: 617-620-1701</t>
  </si>
  <si>
    <t>Fax: 413-527-9147</t>
  </si>
  <si>
    <t>email: LRA@tiac.net</t>
  </si>
  <si>
    <t>Lee Armstrong</t>
  </si>
  <si>
    <t>Roebuck, Randal</t>
  </si>
  <si>
    <t>User</t>
  </si>
  <si>
    <t>Sirit Inc.</t>
  </si>
  <si>
    <t>A.4.4.1</t>
  </si>
  <si>
    <t>10.3.51.1.2</t>
  </si>
  <si>
    <t>5.3.1</t>
  </si>
  <si>
    <t>Vlantis, George</t>
  </si>
  <si>
    <t>STMicroelectronics</t>
  </si>
  <si>
    <t>J.2</t>
  </si>
  <si>
    <t>J.1</t>
  </si>
  <si>
    <t>Malarky, Alastair</t>
  </si>
  <si>
    <t>Mark IV Industries</t>
  </si>
  <si>
    <t>Disagree</t>
  </si>
  <si>
    <t>Agree</t>
  </si>
  <si>
    <t>7.3.2.65</t>
  </si>
  <si>
    <t>Ecclesine, Peter</t>
  </si>
  <si>
    <t>Cisco Systems, Inc.</t>
  </si>
  <si>
    <t>17.3.10.2</t>
  </si>
  <si>
    <t>Thomson, Allan</t>
  </si>
  <si>
    <t>Principle</t>
  </si>
  <si>
    <t>General or blank</t>
  </si>
  <si>
    <t xml:space="preserve">Clause 2. </t>
  </si>
  <si>
    <t>I.1</t>
  </si>
  <si>
    <t>(note that the total is not correct)</t>
  </si>
  <si>
    <t>16-Feb-2010 23:33: 3 EST</t>
  </si>
  <si>
    <t>The European DSRC band is 70MHz wide, i.e. 5.855GHz to 5.925 GHz (whereas the U.S. DSRC band is 75MHz wide, i.e. 5.850 to 5.925GHz). This implies that the European DSRC band can only accommodate fourteen non-overlapping 5MHz channels (instead of the U.S.'s fifteen). Channel 170 is incorrect in Regulatory Class 6 of Table J.2. (See Slide #4 of Doc. #802.11-09/0700r6 for the mathematical derivations.)</t>
  </si>
  <si>
    <t>Change the Channel Set range for Regulatory Class 13 of Table J.2 from "170-184" to "171-184". Merci. Grazie. Danke. Gracias. Epharisto. Takk. Thanks.</t>
  </si>
  <si>
    <t>16-Feb-2010 16:38:18 EST</t>
  </si>
  <si>
    <t>Worstell, Harry</t>
  </si>
  <si>
    <t>AT&amp;T</t>
  </si>
  <si>
    <t>"When operating in a band for which dot11OCBEnabled is permitted to be false" but there is no normative text that states whether that MIB variable is permitted to be false.</t>
  </si>
  <si>
    <t>delete the cited phrase, leaving "A STA for which dot11OCBEnabled is true shall use information from the CF Parameter Set element of all received Beacon frames"</t>
  </si>
  <si>
    <t>For the 5.9 GHz band the standard states that dot11OCBEnabled shall be set true, but it is unspecified for other bands.</t>
  </si>
  <si>
    <t>Insert a paragraph in J.2 (before the J.2.1 subheading) "Unless otherwise stated, dot11OCBEnabled shall be set false."</t>
  </si>
  <si>
    <t>With the introduction of dot11OCBEnabled, there is a huge coexistance problem with legacy devices in the bands commonly used for infrastructure networks. If an 11p-capable device operating in the 2.4 or 5 GHz band were to have dot11OCBEnabled set true, and operate outside the context of the existing infrastructure BSSs within range, it would have serious performance implications on the existing BSSs.</t>
  </si>
  <si>
    <t>Either specify the coexistance procedures that shall be followed before a STA uses the procedures in 11.20, or disallow it. The preferred solution is to insert a paragraph in J.2 (before the J.2.1 subheading) "Unless otherwise stated, dot11OCBEnabled shall be set false."</t>
  </si>
  <si>
    <t>16-Feb-2010  7:54: 6 EST</t>
  </si>
  <si>
    <t>ETSI ES 202663 now defines requirements on ITS operations for Europe for the 5.9 GHz band and RLAN bands.</t>
  </si>
  <si>
    <t>Add ETSI ES 202663 to the bibliography</t>
  </si>
  <si>
    <t>16-Feb-2010  7:53:19 EST</t>
  </si>
  <si>
    <t>I.2.2</t>
  </si>
  <si>
    <t>ETSI ES 202663 now EIRP limits for ITS operations for Europe for the 5.9 GHz band and RLAN bands.</t>
  </si>
  <si>
    <t>Add "33 dBm. Additional limitations apply per ETSI ES 202663 [B&lt;n&gt;]"</t>
  </si>
  <si>
    <t>16-Feb-2010  7:48:57 EST</t>
  </si>
  <si>
    <t>ETSI ES 202663 now defines emission limits and behaviour for ITS operations for Europe for the 5.9 GHz and RLAN bands.</t>
  </si>
  <si>
    <t>Add ETSI ES 202663 to Europe entries for Table I.1, to emission limits set 7 in Table I.2 and to behaviour limits set 18 in Table I.3.</t>
  </si>
  <si>
    <t>15-Feb-2010 22:55:27 EST</t>
  </si>
  <si>
    <t>The amendment leaves the Address1 (DA) content undefined for transmission of the newly added management frame Timing Advertisement.</t>
  </si>
  <si>
    <t>Either add a parameter to the primitive to set the DA for this frame, or make a normative statement in 11.21.2 defining setting of DA for this frame.</t>
  </si>
  <si>
    <t>12-Feb-2010 16:40:14 EST</t>
  </si>
  <si>
    <t>Add 11.1.1 reference for PC11.4 PIC based on new language</t>
  </si>
  <si>
    <t>PC11.4 PIC will have both "11.1.1 &amp; 11.1.2" references.</t>
  </si>
  <si>
    <t>What is the value when there is no external time source? Note is recommended in explaining "standardized" in "0 - No standardized time source."</t>
  </si>
  <si>
    <t>Renumber as "0 for no external time source, 1 for no standardized external time source, 2 for UTC, 3-255 for Reserved".</t>
  </si>
  <si>
    <t>No PIC for "Data Confidentiality" where Authentication/Deauthentication does. 802.11 baseline does not have existing "Data Confidentiality" PIC.</t>
  </si>
  <si>
    <t>Add PIC with (not CF2:1:M reference) or delete conditional statement "(not used when dot11OCBEnabled is true)"</t>
  </si>
  <si>
    <t>12-Feb-2010  6:20: 8 EST</t>
  </si>
  <si>
    <t>"When operating in a band for which dot11OCBEnabled is permitted to be false, a STA for which
dot11OCBEnabled is true shall use information from the CF Parameter Set element of all received Beacon
frames, without regard for the BSSID, to update its NAV as specified in 9.3.2.2."
Unless there is something in 9.3.2.2 that excludes behaviour when OCBEnabled is true, this statement is unnecessary.</t>
  </si>
  <si>
    <t>Turn statement into a NOTE-- and adjust language to informative.</t>
  </si>
  <si>
    <t>12-Feb-2010  6:15:31 EST</t>
  </si>
  <si>
    <t>"If a STA with dot11OCBEnabled true uses a
mechanism defined herein, conditional requirements defined as part of the mechanism apply."
Uh? It may be English, but not as I know it.</t>
  </si>
  <si>
    <t>Say what you mean to say in a form I can understand, or don't say it at all.</t>
  </si>
  <si>
    <t>12-Feb-2010  6:10:46 EST</t>
  </si>
  <si>
    <t>9.6.0a</t>
  </si>
  <si>
    <t>The new material related to control frame rate selection with dot11OCBEnabled is inadequate for 2 reasons:
1. It does not talk about MCS selection
2. It creates a contradiction with material in 9.6.0e</t>
  </si>
  <si>
    <t>1. Add a description of MCS selection when OCBEnabled is true.
2. Move the second inserted para to 9.6.0e.1 and add something along the following lines: "The rules in 9.6.0e.2 to 9.6.0e.7 do not apply when dot11OCBEnabled is true".</t>
  </si>
  <si>
    <t>11-Feb-2010 17:16:55 EST</t>
  </si>
  <si>
    <t>The description for the time advertisement information is still not fully aligned with tgv. TGv draft cleaned up the descriptions for 0 and 1 values also.</t>
  </si>
  <si>
    <t>Clean up 7.3.2.65 as per TGv D9</t>
  </si>
  <si>
    <t xml:space="preserve"> 6-Feb-2010 21: 7:52 EST</t>
  </si>
  <si>
    <t>Set dot11ACRType DEFVAL to 1.</t>
  </si>
  <si>
    <t>As it is an option invoked by value 2, set the DEFVAL to 1.</t>
  </si>
  <si>
    <t>A.4.8</t>
  </si>
  <si>
    <t>Both optional ACR and optional non-adjacent channel rejection are shown as optional, but should be CF17:O to stay in scope of the 11p PAR.</t>
  </si>
  <si>
    <t>Change OF5.2.1 and OF5.3.1 Status to CF17:O</t>
  </si>
  <si>
    <t>Both in 17.3.10.2 and 17.3.10.3 should qualify the use of dot11ACRType with dot11OCBEnabled true, to stay in scope of the 11p PAR.</t>
  </si>
  <si>
    <t>Qualify the optional enhanced optional ACR and non-adjacent channel rejection with dot11OEBEnabled true two places in clause 17.</t>
  </si>
  <si>
    <t>The description of dot11StationClass should refer to Annex I.2.2, where "A", "B", "C" and "D" are described. Without the reference, the classes have no meaning.</t>
  </si>
  <si>
    <t>per comment</t>
  </si>
  <si>
    <t>The term "transmit power classification" is inserted into a clause named "transmit power levels" without any standards definition. When we remove explicit references to laws, Station Transmit Power Classification will be undefined, just as it is undefined outside 5.9 GHz in the USA (what is it's value in Europe?).</t>
  </si>
  <si>
    <t>Define Station Transmit Power Classification in Annex I before using it in the context of US 5.85-5.925 GHz.</t>
  </si>
  <si>
    <t>The name "dot11StationClass" is way too general for a STA transmit power class, as defined in Annex I Table I.5a.</t>
  </si>
  <si>
    <t>Change name to dot11STATransmitPowerClass and set DEFVAL to 1.</t>
  </si>
  <si>
    <t>None</t>
  </si>
  <si>
    <t xml:space="preserve">Initial version created from SB1 comments </t>
  </si>
  <si>
    <t>February 2010</t>
  </si>
  <si>
    <t>2010-02-22</t>
  </si>
  <si>
    <t>TGp-Sponsor Ballot #1 Comment Resolution Master</t>
  </si>
  <si>
    <t>Resolution Detail</t>
  </si>
  <si>
    <t>Other1</t>
  </si>
  <si>
    <t xml:space="preserve">Per submission:
https://mentor.ieee.org/802.11/dcn/11-10-0246-02-000p-tgp-d10-0-sb01-comment-resolutions-for-annex-i-j
The crux of the comment  is that the phase “transmit power classifications” should agree with the title and the headings of Table I.5a, and also the “ITS non-mobile” operating behavior should be mentioned in the text. 
Therefore:
(1) On page 29, lines 27-28, replace the entire sentence beginning with “The maximum allowable transmit power classifications…” with the following text:  “The maximum allowable STA transmit power classifications for ITS non-mobile operations in the U.S. 5.85-5.925 GHz band are shown in Table I.5a.”
(2) On page 30, lines 3-4, in the title for Table I.5a, replace the word “Transmit” with the phrase “STA transmit”.
</t>
  </si>
  <si>
    <t>Per submission 
https://mentor.ieee.org/802.11/dcn/11-10-0277-00-000p-clauses7-9-10-11-comment-resolution
In 802.11p D10.0, page 27, at the end of line 43, replace the period with the following: “ (as defined in I.2.2).”</t>
  </si>
  <si>
    <t xml:space="preserve">Per submission:
https://mentor.ieee.org/802.11/dcn/11-10-0285-03-000p-tgp-d10-0-sb01-comment-resolutions-for-cids-2004-and-2018-to-2020
The optional enhanced performance specifications for ACR and non-adjacent channel rejection are device performance characteristics based on hardware implementation and not a behavior.
The dot11ACRType element in the MIB should be a read-only status attribute written by the PHY management entity and remain independent of the value of operating band or dot11OCBEnabled’s state.  The read-only attribute will equal 2 if the PHY satisfies the optional specification.   The DEFVAL for dot11ACRType should be specified to be 1.
Additionally, the MIB has some editorial issues, e.g. unsigned enumerated types are preferred.
 The PICS OF5.2.1 and OF5.3.1 are correctly consistent and not constrained by CF2.1 or CF17.
Therefore:
(1) In Annex D, within the definition of the “Dot11PHYOFDMEntry” sequence, on page 27, lines 31 and 32, change the underlined “INTEGER” to the underlined “Unsigned32” for both dot11StationClass and dot11ACRtype”.
 (2) In Annex D, within the definition of the “Dot11PHYOFDMEntry” sequence, on page 27, line 31, change the underlined “dot11StationClass” to the underlined “dot11STATransmitPowerClass”.
(3)  In Annex D, within the definition of the “dot11StationClass” element, on page 27, line 37, change the name of the element from “dot11StationClass” to “dot11STATransmitPowerClass”.
(4)  In Annex D, within the “dot11StationClass” element, on page 27, line 38, change the SYNTAX statement from “SYNTAX INTEGER (1..4)” to
“SYNTAX Unsigned32 { Class A(1), Class B(2), Class C(3), Class D(4)  }”.
(5)  In Annex D, within the “dot11ACRType” element, on page 27, line 47, change the SYNTAX statement from “SYNTAX INTEGER (1..2)” to
“SYNTAX Unsigned32 { Table 17-13(1), Table 17-13a(2)  }”.
(6) In Annex D, within the definition of the dot11ACRType MIB element, on page 27, line 48: Change the value of MAX-ACCESS from “read-write” to “read-only”.
(7) In Annex D, within the definition of the “dot11ACRType” element, on page 27, line 51: 
Within the quotes following “DESCRIPTION”, insert a new paragraph where the first line is “This is a status variable.” and the second line is “It is written by the SME.”
(8) In Annex D, within the definition of the “dot11ACRType” element, on page 27, line 53: 
After the last line of the “DESCRIPTION” quotation, append the line “DEFVAL { 1 }”.
(See Clause 2 of Doc. https://mentor.ieee.org/802.11/dcn/11-10-0285-03-000p-tgp-d10-0-sb01-comment-resolutions-for-cids-2004-and-2018-to-2020 for an illustration of the consequences of these changes.)
</t>
  </si>
  <si>
    <t xml:space="preserve">Per submission:  https://mentor.ieee.org/802.11/dcn/11-10-0277-00-000p-clauses7-9-10-11-comment-resolution
In 802.11p D10.0, page 27 do the following:
(1) On line 30: change “dot11StationClass” to “dot11STATransmitPowerClass”
(2) Make the same change as (1) on line 37
(3) Insert a new line before the the current line 44, i.e. “::= { dot11PhyOFDMEntry 5 }”, containing the following:
“DEFVAL { 1 }”
</t>
  </si>
  <si>
    <t>Per submission:
https://mentor.ieee.org/802.11/dcn/11-10-0292-01-000p-sponsor-ballot-one-pics-response
  It is not exclusive to 5.9 GHz</t>
  </si>
  <si>
    <t xml:space="preserve">Per submission:
https://mentor.ieee.org/802.11/dcn/11-10-0277-00-000p-clauses7-9-10-11-comment-resolution.
In 802.11p D10.0, page 27, insert a new line before the the current line 54, i.e. “::= { dot11PhyOFDMEntry 6 }”, containing the following:
“DEFVAL { 1 }” 
</t>
  </si>
  <si>
    <t xml:space="preserve">Per submission:
https://mentor.ieee.org/802.11/dcn/11-10-0277-00-000p-clauses7-9-10-11-comment-resolution
When dot11OCBEnabled is true, BSSBasicRateSet is empty (unless filled by a higher layer per the proposed first paragraph in 9.6.0a), so the rules in 9.6.0d.1 and 9.6.0d.6 for management frames when BSSBasicRateSet is empty apply and 9.6.0e.5.2 and 9.6.0e.5.4 for control frames apply.  Per 9.1.3.1, the TXOP limits are always zero, so there is no need to initiate it with a control frame.
Therefore, make the following changes to 802.11p D10.0:
(1) Replace the first paragraph of 9.6.0a with the following: “Only the data transfer rates of the mandatory rate set of the attached PHY are guaranteed to be supported when a STA for which dot11OCBEnabled is true transmits a management or data frame. Higher layer protocols may negotiate a rate outside the mandatory rate set.” (note to editor: minor changes were made for consistency with 11n amendment)
(2) Delete the second paragraph of 9.6.0a (beginning “When dot11OCBEnabled is true, control frames…”)
</t>
  </si>
  <si>
    <t xml:space="preserve">Per submission:
https://mentor.ieee.org/802.11/dcn/11-10-0277-00-000p-clauses7-9-10-11-comment-resolution
The sentence is ambiguous and too broad.
In 802.11p D10.0, delete the third sentence of 11.1 (beginning “If a STA with dot11OCBEnabled true”).
</t>
  </si>
  <si>
    <t xml:space="preserve">Per submission:
https://mentor.ieee.org/802.11/dcn/11-10-0285-03-000p-tgp-d10-0-sb01-comment-resolutions-for-cids-2004-and-2018-to-2020.
History:  CID 1064 during the initial SB on D.9.0 addressed the following sentence added by TGp to subclause 11.1:  “A STA for which dot11OCBEnabled is true is not a member of a BSS, and is not required to synchronize to a common clock or use these mechanisms.” 
The commenter pointed out that the first paragraph of subclause 11.2.3 of the 2007 baseline, states: “STAs shall use information from the CF Parameter Set element of all received Beacon frames, without regard for the BSSID, to update their NAV is specified in 9.3.2.2.” 
So, the statement added to subclause 11.1 causes an ambiguity whether the mechanism of setting the NAV for Contention Free Periods is still required as stated in the subordinate subclause 11.2.3.
Whereas many of the BSS and I-BSS mechanisms in clause 11 are not required when dot11OCBEnabled is true, the mechanisms that are required for transmitting data frames are explicitly stated in TGp’s subclause 11.20. 
Hence the paragraph in question was added to the draft to specify that the NAV behavior of 9.3.2.2 is normatively required. 
However, a new ambiguity was introduced by this paragraph as pointed out in CID 2020.  Because the receive behavior for CF Parameter Set would be undefined in the cases where the value of dot11OCBEnabled is not permitted to be false (i.e., by J.2.2 and J.2.3), it is necessary to remove the conditionals that were introduced by the TGp text when compared to the 2007 baseline 11.2.3 text. 
Therefore (same as CID 2010):
Change the first sentence of the last paragraph of subclause 11.20, on page 19, line 8 as follows:
(1) Delete the clause “When operating in a band for which dot11OCBEnabled is permitted to be false,”
(2) Capitalize the word “A” before the word “STA”.
(3) Delete the clause “for which dot11OCBEnabled is true”.
</t>
  </si>
  <si>
    <t xml:space="preserve">Per submsion:
https://mentor.ieee.org/802.11/dcn/11-10-0294-00-000p-tgp-sb01-comment-resolutions-for-clause-5.
PICS should be updated to reflect modifications to required behavior.
The statements in 5.3.1 regarding authentication, deauthentication, and data confidentiality are informative, and thus do not directly lead to PICS entries.  However, they refer to normative statements in Clause 11.20 that should be reflected in the PICS.  Item (a) in 11.20 states that authentication and association are not used when dot11OCBEnabled is true.
Therefore:
1) In Annex A.4.4.1, page 22, line 32, insert a row in the table before the PC 11 entry, copy the row for PC1 (authentication service) from 802.11-2007, add 11.20 to the references, modify the Status from “M” to “not CF2.1: M”, and add a 
“N/A [ ]” box in the support column.
2) In Annex A.4.4.1, page 22, line 37, insert a row in the table between the PC 11.9 and PC 37 rows, copy the row for PC14 (association and reassociation) from 802.11-2007, add 11.20 to the references, modify the Status from “M” to “not CF2.1: M”, and add a “N/A [ ]” box in the support column.
</t>
  </si>
  <si>
    <t>Per submission:
 https://mentor.ieee.org/802.11/dcn/11-10-0277-00-000p-clauses7-9-10-11-comment-resolution.
A STA with no external time source would not advertise time.  Since the Timing Advertisement frame requires the Timestamp to be present there must be a time source, even if it is just the random power up of the STA with the internal clock of the MAC/PHY.</t>
  </si>
  <si>
    <t xml:space="preserve">Per submission:
https://mentor.ieee.org/802.11/dcn/11-10-0292-01-000p-sponsor-ballot-one-pics-response
</t>
  </si>
  <si>
    <t xml:space="preserve">Per submission:
 https://mentor.ieee.org/802.11/dcn/11-10-0277-00-000p-clauses7-9-10-11-comment-resolution.
Add a parameter to the primitive.  In 10.3.51.1.2 do the following:
(1) On Page 15, line 14: add a new parmeter “PeerMACAddress” to “MLME-TIMING_ADVERTISEMENT.request” by inserting “PeerMACAddress,” on a new line before “Capability Information”
(2) Add a new row to the table after the title row (i.e. before the row whose “Name” cell contains “Capability Information”) with the following entries:
(2a) Set the “Name” cell of the new row to “PeerMACAddress”
(2b) Set the “Type” cell of the new row to “MACAddress”
(2c) Set the “Valid range” cell of the new row to “Any valid individual or group
MAC address.”
(2d) Set the “Description” cell of the new row to “The address of the peer MAC entity or group of entities to which the Timing Advertisement frame is sent.”
</t>
  </si>
  <si>
    <t xml:space="preserve">Per submission:
https://mentor.ieee.org/802.11/dcn/11-10-0246-02-000p-tgp-d10-0-sb01-comment-resolutions-for-annex-i-j
Therefore:
(1) After Table I.1, on page 28, line 26,  insert the bold, italicized editorial instruction: Append to the list of Documents for Europe, the entry:  “, ETS 202-663 [B7a]”
(2) Within Table I.2, on page 28, line 37, prepend the entry “ETS 202-663 [B7a], Clause 5” before the two entries in the Europe column (i.e. “ETSI EN 302 571” and “ETSI EN 301 893”).
(3)  Within Table I.3, Behavior limits sets 17, on page 28, line 52, prepend the entry  “ETS 202-663 [B7a], Clause 5” before the entry “ETSI EN 302 571” 
(4)  Within Table I.3, Behavior limits set 18, on page 29, line 5, prepend the entry “ETS 202-663 [B7a], Clause 5” before the entry “ETSI EN 302 571”.
(5)  On page 29, line 19, prepend  “ETS 202-663 [B7a] and ”
before “ETSI EN 301 893-1.” 
</t>
  </si>
  <si>
    <t>Per submission:
 https://mentor.ieee.org/802.11/dcn/11-10-0246-02-000p-tgp-d10-0-sb01-comment-resolutions-for-annex-i-j.
ETSI ES 202663 (3) specifies in “Table 2: European channel allocation” of subclause 5.3 “Channel allocation” that for all “Channel type” rows in the ITS band, the maximum “TX power limit” entry is 33dBm.
Therefore:
Within Table I.4, on page 29, line 41, change the lone hyphen to “33 dBm (2W). Additional limitations apply per ETS 202-663 [B7a], Clause 5."</t>
  </si>
  <si>
    <t>Per submission:
 https://mentor.ieee.org/802.11/dcn/11-10-0246-02-000p-tgp-d10-0-sb01-comment-resolutions-for-annex-i-j.
Therefore:
On page 33, line 43, immediately below the “P.1 General” title, insert the bold, italicized editorial instruction “Insert the following after reference [B7]:” followed by inserting a normal text line in regular font that reads “[B7a] ETS 202-663 V1.1.0 (2009-11), Intelligent Transport Systems (ITS); European profile standard for the physical and medium access control layer of Intelligent Transport Systems operating in the 5 GHz frequency band. 35 “</t>
  </si>
  <si>
    <t xml:space="preserve">Per submission: 
https://mentor.ieee.org/802.11/dcn/11-10-0285-03-000p-tgp-d10-0-sb01-comment-resolutions-for-cids-2004-and-2018-to-2020.
The default value for the MIB variable dot11OCBEnabled is stated in the DESCRIPTION of the MIB element in Annex D, page 27, line 15.   However, there is a deficiency that the statement “DEFVAL { false }” which assigns the default value is omitted.   (See DEFVAL examples in 802.11ma-2007 and in 802.11mb D2.01.)
Therefore (same as CID 2019):
In Annex D, page 27, line 16, append a new line after the DESCRIPTION, the line: “DEFVAL { false }’
</t>
  </si>
  <si>
    <t xml:space="preserve">Per submission: 
https://mentor.ieee.org/802.11/dcn/11-10-0285-03-000p-tgp-d10-0-sb01-comment-resolutions-for-cids-2004-and-2018-to-2020.
The default value for the MIB variable dot11OCBEnabled is stated in the DESCRIPTION of the MIB element in Annex D, page 27, line 15.   However, there is a deficiency that the statement “DEFVAL { false }” which assigns the default value is omitted.   (See DEFVAL examples in 802.11ma-2007 and in 802.11mb D2.01.)
Therefore (same as CID 2018):
In Annex D, page 27, line 16, append a new line after the DESCRIPTION, the line: “DEFVAL { false }’
</t>
  </si>
  <si>
    <t>Per submission: 
https://mentor.ieee.org/802.11/dcn/11-10-0285-03-000p-tgp-d10-0-sb01-comment-resolutions-for-cids-2004-and-2018-to-2020.
The behavior of a STA receiving a beacon frame containing the CF Parameter Set element must be specified unambiguously and normatively, regardless of the operating band and the state of dot11OCBEnabled. 
The text should read: “A STA shall use information from the CF Parameter Set element of all received Beacon frames, without regard for the BSSID, to update its NAV as specified in 9.3.2.2.”
Therefore (same as CID 2010):
Change the first sentence of the last paragraph of subclause 11.20, on page 19, line 8 as follows:
(1) Delete the clause “When operating in a band for which dot11OCBEnabled is permitted to be false,”
(2) Capitalize the word “A” before the word “STA”.
(3) Delete the clause “for which dot11OCBEnabled is true”.</t>
  </si>
  <si>
    <t xml:space="preserve">Per submission
https://mentor.ieee.org/802.11/dcn/11-10-0246-02-000p-tgp-d10-0-sb01-comment-resolutions-for-annex-i-j.
ETSI ES 202663 (3) specifies in “Table 1: Frequency allocation in the European Union” of subclause 5.2 “Frequency allocation” that the Frequency Range for ITS usage is 5.855GHz to 5.925GHz.
There is a consistency error in the PICS of D10.0 that was introduced as a consequence of deleting mandatory requirements from subclauses J.2.2 and J.2.3 in the initial Sponsor Ballot and not updating the PICS.  In subclause A.4.3, CF17 no longer depends on the CF8, CF10, and CF11 behaviors.  CF17 now only depends on CF6, the OFDM PHY.  
Therefore:
Within Table J.2 “Regulatory classes in Europe”, on page 32, line 43, change the “Channel set” range for Regulatory Class 13 of Table J.2 from "170-184" to "171-184".
Within sublause A.4.3’s Table, change the Status entry of the CF17 row from “CF6&amp;CF8&amp;CF10&amp;CF11:O”to “CF6:O” by deleting “&amp;CF8&amp;CF10&amp;CF11”. 
</t>
  </si>
  <si>
    <t xml:space="preserve">Per submission:
https://mentor.ieee.org/802.11/dcn/11-10-0301-02-000p-proposed-resolution-to-cid-2007
Make the following changes to 802.11p D10.0:
(1)  There are many instances of “if needed” being used in the baseline document, so do not change Figure 7-95a1.
(2)   Change the first sentence after Table 7-37b to read, “When the value of the Timing Capabilities field is 0, only the Element ID, Length and Timing Capabilities fields are included in the Time Advertisement information element.”
(3)   In the second sentence following Table 7-37b, insert the word "additional" after "following".
(4)  In the text of the caption of Figure 7-95a1, delete the word “information” so it reads, “Time Advertisement element format”
(5)  In the paragraph following Table 7-37b, insert a paragraph break between the first and second sentences, so that the sentence beginning “When the value of the Timing Capabilities is 1…” is the first sentence of a new paragraph
</t>
  </si>
  <si>
    <t>doc.: IEEE 802.11-10/0239r3</t>
  </si>
</sst>
</file>

<file path=xl/styles.xml><?xml version="1.0" encoding="utf-8"?>
<styleSheet xmlns="http://schemas.openxmlformats.org/spreadsheetml/2006/main">
  <fonts count="19">
    <font>
      <sz val="10"/>
      <name val="Arial"/>
    </font>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sz val="8"/>
      <name val="Arial"/>
      <family val="2"/>
    </font>
    <font>
      <sz val="8"/>
      <color indexed="81"/>
      <name val="Tahoma"/>
      <family val="2"/>
    </font>
    <font>
      <b/>
      <sz val="10"/>
      <name val="Arial"/>
      <family val="2"/>
    </font>
    <font>
      <sz val="6"/>
      <name val="Arial"/>
      <family val="2"/>
    </font>
    <font>
      <sz val="6"/>
      <name val="Arial"/>
      <family val="2"/>
    </font>
    <font>
      <sz val="10"/>
      <name val="Arial"/>
      <family val="2"/>
    </font>
    <font>
      <b/>
      <sz val="8"/>
      <color indexed="81"/>
      <name val="Tahoma"/>
      <family val="2"/>
    </font>
    <font>
      <b/>
      <u/>
      <sz val="10"/>
      <name val="Arial"/>
      <family val="2"/>
    </font>
    <font>
      <i/>
      <sz val="10"/>
      <name val="Arial"/>
      <family val="2"/>
    </font>
    <font>
      <sz val="8"/>
      <name val="Arial"/>
      <family val="2"/>
    </font>
    <font>
      <b/>
      <sz val="8"/>
      <name val="Arial"/>
      <family val="2"/>
    </font>
    <font>
      <sz val="12"/>
      <name val="Arial Black"/>
      <family val="2"/>
    </font>
    <font>
      <sz val="9"/>
      <name val="Arial"/>
      <family val="2"/>
    </font>
  </fonts>
  <fills count="10">
    <fill>
      <patternFill patternType="none"/>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32"/>
      </left>
      <right style="medium">
        <color indexed="32"/>
      </right>
      <top style="medium">
        <color indexed="32"/>
      </top>
      <bottom/>
      <diagonal/>
    </border>
    <border>
      <left style="medium">
        <color indexed="32"/>
      </left>
      <right style="medium">
        <color indexed="32"/>
      </right>
      <top/>
      <bottom style="thin">
        <color indexed="64"/>
      </bottom>
      <diagonal/>
    </border>
    <border>
      <left style="medium">
        <color indexed="32"/>
      </left>
      <right style="medium">
        <color indexed="32"/>
      </right>
      <top/>
      <bottom style="medium">
        <color indexed="32"/>
      </bottom>
      <diagonal/>
    </border>
    <border>
      <left style="medium">
        <color indexed="32"/>
      </left>
      <right style="medium">
        <color indexed="32"/>
      </right>
      <top/>
      <bottom/>
      <diagonal/>
    </border>
    <border>
      <left style="medium">
        <color indexed="32"/>
      </left>
      <right style="medium">
        <color indexed="32"/>
      </right>
      <top style="thin">
        <color indexed="32"/>
      </top>
      <bottom style="medium">
        <color indexed="32"/>
      </bottom>
      <diagonal/>
    </border>
  </borders>
  <cellStyleXfs count="1">
    <xf numFmtId="0" fontId="0" fillId="0" borderId="0"/>
  </cellStyleXfs>
  <cellXfs count="124">
    <xf numFmtId="0" fontId="0" fillId="0" borderId="0" xfId="0"/>
    <xf numFmtId="0" fontId="2" fillId="0" borderId="0" xfId="0" applyFont="1"/>
    <xf numFmtId="0" fontId="3" fillId="0" borderId="0" xfId="0" applyFont="1"/>
    <xf numFmtId="0" fontId="3" fillId="0" borderId="1" xfId="0" applyFont="1" applyBorder="1"/>
    <xf numFmtId="0" fontId="3" fillId="0" borderId="0" xfId="0" applyFont="1" applyBorder="1"/>
    <xf numFmtId="0" fontId="4" fillId="0" borderId="0" xfId="0" applyFont="1" applyBorder="1"/>
    <xf numFmtId="0" fontId="3" fillId="0" borderId="0" xfId="0" applyFont="1" applyBorder="1" applyAlignment="1">
      <alignment vertical="top"/>
    </xf>
    <xf numFmtId="49" fontId="2" fillId="0" borderId="0" xfId="0" quotePrefix="1" applyNumberFormat="1" applyFont="1"/>
    <xf numFmtId="49" fontId="3" fillId="0" borderId="0" xfId="0" applyNumberFormat="1" applyFont="1"/>
    <xf numFmtId="49" fontId="2" fillId="0" borderId="0" xfId="0" applyNumberFormat="1" applyFont="1" applyBorder="1"/>
    <xf numFmtId="0" fontId="5" fillId="0" borderId="0" xfId="0" applyFont="1"/>
    <xf numFmtId="49" fontId="0" fillId="0" borderId="0" xfId="0" applyNumberFormat="1"/>
    <xf numFmtId="0" fontId="8" fillId="0" borderId="0" xfId="0" applyFont="1"/>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xf numFmtId="0" fontId="8" fillId="2" borderId="2" xfId="0" applyFont="1" applyFill="1" applyBorder="1"/>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9" fillId="0" borderId="2" xfId="0" applyFont="1" applyBorder="1"/>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xf numFmtId="0" fontId="13" fillId="0" borderId="3" xfId="0" applyFont="1" applyBorder="1"/>
    <xf numFmtId="0" fontId="0" fillId="0" borderId="4" xfId="0" applyBorder="1" applyAlignment="1">
      <alignment horizontal="center"/>
    </xf>
    <xf numFmtId="0" fontId="0" fillId="0" borderId="5" xfId="0" applyBorder="1"/>
    <xf numFmtId="0" fontId="0" fillId="0" borderId="6" xfId="0" applyBorder="1"/>
    <xf numFmtId="0" fontId="0" fillId="0" borderId="0" xfId="0" applyBorder="1" applyAlignment="1">
      <alignment horizontal="center"/>
    </xf>
    <xf numFmtId="0" fontId="0" fillId="0" borderId="7" xfId="0" applyBorder="1"/>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xf numFmtId="0" fontId="0" fillId="0" borderId="9" xfId="0" applyBorder="1" applyAlignment="1">
      <alignment horizontal="center"/>
    </xf>
    <xf numFmtId="0" fontId="0" fillId="0" borderId="10" xfId="0" applyBorder="1"/>
    <xf numFmtId="0" fontId="14" fillId="0" borderId="0" xfId="0" applyFont="1" applyAlignment="1">
      <alignment horizontal="center"/>
    </xf>
    <xf numFmtId="0" fontId="8" fillId="2" borderId="2" xfId="0" applyFont="1" applyFill="1" applyBorder="1" applyAlignment="1">
      <alignment horizontal="left"/>
    </xf>
    <xf numFmtId="0" fontId="8" fillId="0" borderId="2" xfId="0" applyFont="1" applyBorder="1" applyAlignment="1">
      <alignment horizontal="right"/>
    </xf>
    <xf numFmtId="0" fontId="1" fillId="0" borderId="0" xfId="0" applyFont="1"/>
    <xf numFmtId="0" fontId="8" fillId="0" borderId="0" xfId="0" applyFont="1" applyAlignment="1">
      <alignment horizontal="left"/>
    </xf>
    <xf numFmtId="0" fontId="10" fillId="0" borderId="0" xfId="0" applyFont="1" applyAlignment="1">
      <alignment horizontal="center"/>
    </xf>
    <xf numFmtId="0" fontId="1" fillId="0" borderId="0" xfId="0" applyFont="1" applyAlignment="1">
      <alignment horizontal="center"/>
    </xf>
    <xf numFmtId="0" fontId="8" fillId="2" borderId="11" xfId="0" applyFont="1" applyFill="1" applyBorder="1" applyAlignment="1">
      <alignment horizontal="center" wrapText="1"/>
    </xf>
    <xf numFmtId="0" fontId="8" fillId="2" borderId="12" xfId="0" applyFont="1" applyFill="1" applyBorder="1" applyAlignment="1">
      <alignment horizontal="center" wrapText="1"/>
    </xf>
    <xf numFmtId="0" fontId="9" fillId="0" borderId="12" xfId="0" applyFont="1" applyBorder="1"/>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xf numFmtId="0" fontId="0" fillId="0" borderId="4" xfId="0" applyBorder="1"/>
    <xf numFmtId="0" fontId="0" fillId="0" borderId="9" xfId="0" applyBorder="1"/>
    <xf numFmtId="0" fontId="8" fillId="0" borderId="12" xfId="0" applyFont="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1" xfId="0" applyBorder="1"/>
    <xf numFmtId="0" fontId="0" fillId="0" borderId="12" xfId="0" applyBorder="1" applyAlignment="1">
      <alignment horizontal="center"/>
    </xf>
    <xf numFmtId="0" fontId="8" fillId="2" borderId="11" xfId="0" applyFont="1" applyFill="1" applyBorder="1"/>
    <xf numFmtId="0" fontId="8" fillId="2" borderId="12" xfId="0" applyFont="1" applyFill="1" applyBorder="1" applyAlignment="1">
      <alignment horizontal="center"/>
    </xf>
    <xf numFmtId="0" fontId="15" fillId="0" borderId="2" xfId="0" applyFont="1" applyBorder="1"/>
    <xf numFmtId="0" fontId="0" fillId="7" borderId="2" xfId="0" applyFill="1" applyBorder="1" applyAlignment="1">
      <alignment horizontal="center"/>
    </xf>
    <xf numFmtId="0" fontId="0" fillId="0" borderId="11" xfId="0" applyFill="1" applyBorder="1"/>
    <xf numFmtId="0" fontId="0" fillId="0" borderId="12" xfId="0" applyFill="1" applyBorder="1" applyAlignment="1">
      <alignment horizontal="center"/>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11" fillId="0" borderId="2" xfId="0" applyFont="1" applyFill="1" applyBorder="1" applyAlignment="1">
      <alignment horizontal="center"/>
    </xf>
    <xf numFmtId="0" fontId="11" fillId="0" borderId="11" xfId="0" applyFont="1" applyFill="1" applyBorder="1" applyAlignment="1">
      <alignment horizontal="center"/>
    </xf>
    <xf numFmtId="0" fontId="11" fillId="0" borderId="13" xfId="0" applyFont="1" applyFill="1" applyBorder="1" applyAlignment="1">
      <alignment horizontal="center"/>
    </xf>
    <xf numFmtId="0" fontId="11" fillId="0" borderId="14" xfId="0" applyFont="1" applyFill="1" applyBorder="1" applyAlignment="1">
      <alignment horizontal="center"/>
    </xf>
    <xf numFmtId="0" fontId="11" fillId="0" borderId="12" xfId="0" applyFont="1" applyFill="1" applyBorder="1" applyAlignment="1">
      <alignment horizontal="center"/>
    </xf>
    <xf numFmtId="0" fontId="11" fillId="0" borderId="2" xfId="0" applyFont="1" applyFill="1" applyBorder="1"/>
    <xf numFmtId="49" fontId="17" fillId="0" borderId="0" xfId="0" applyNumberFormat="1" applyFont="1"/>
    <xf numFmtId="0" fontId="11" fillId="0" borderId="2" xfId="0" applyFont="1" applyFill="1" applyBorder="1" applyAlignment="1">
      <alignment horizontal="left" indent="1"/>
    </xf>
    <xf numFmtId="49" fontId="2" fillId="0" borderId="0" xfId="0" applyNumberFormat="1" applyFont="1" applyFill="1"/>
    <xf numFmtId="49" fontId="3" fillId="0" borderId="0" xfId="0" applyNumberFormat="1" applyFont="1" applyFill="1"/>
    <xf numFmtId="0" fontId="11" fillId="4" borderId="15" xfId="0" applyFont="1" applyFill="1" applyBorder="1" applyAlignment="1">
      <alignment horizontal="center"/>
    </xf>
    <xf numFmtId="0" fontId="11" fillId="4" borderId="16" xfId="0" applyFont="1" applyFill="1" applyBorder="1" applyAlignment="1">
      <alignment horizontal="center"/>
    </xf>
    <xf numFmtId="10" fontId="8" fillId="4" borderId="17" xfId="0" applyNumberFormat="1" applyFont="1" applyFill="1" applyBorder="1" applyAlignment="1">
      <alignment horizontal="center"/>
    </xf>
    <xf numFmtId="1" fontId="8" fillId="4" borderId="18" xfId="0" applyNumberFormat="1" applyFont="1" applyFill="1" applyBorder="1" applyAlignment="1">
      <alignment horizontal="center"/>
    </xf>
    <xf numFmtId="10" fontId="8" fillId="4" borderId="19" xfId="0" applyNumberFormat="1" applyFont="1" applyFill="1" applyBorder="1" applyAlignment="1">
      <alignment horizontal="center"/>
    </xf>
    <xf numFmtId="0" fontId="3" fillId="0" borderId="0" xfId="0" applyFont="1" applyAlignment="1">
      <alignment wrapText="1"/>
    </xf>
    <xf numFmtId="14" fontId="0" fillId="0" borderId="2" xfId="0" quotePrefix="1" applyNumberFormat="1" applyBorder="1" applyAlignment="1">
      <alignment wrapText="1"/>
    </xf>
    <xf numFmtId="15" fontId="0" fillId="0" borderId="0" xfId="0" applyNumberFormat="1"/>
    <xf numFmtId="0" fontId="11" fillId="0" borderId="0" xfId="0" applyFont="1"/>
    <xf numFmtId="0" fontId="11" fillId="0" borderId="2" xfId="0" applyFont="1" applyBorder="1" applyAlignment="1">
      <alignment horizontal="center"/>
    </xf>
    <xf numFmtId="0" fontId="11" fillId="0" borderId="0" xfId="0" applyFont="1" applyAlignment="1">
      <alignment horizontal="center"/>
    </xf>
    <xf numFmtId="0" fontId="11" fillId="0" borderId="4" xfId="0" applyFont="1" applyBorder="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0" fontId="2" fillId="0" borderId="0" xfId="0" applyFont="1" applyFill="1"/>
    <xf numFmtId="0" fontId="11" fillId="0" borderId="2" xfId="0" applyFont="1" applyBorder="1" applyAlignment="1">
      <alignment wrapText="1"/>
    </xf>
    <xf numFmtId="0" fontId="1" fillId="0" borderId="2" xfId="0" applyFont="1" applyBorder="1" applyAlignment="1">
      <alignment wrapText="1"/>
    </xf>
    <xf numFmtId="0" fontId="1" fillId="0" borderId="0" xfId="0" applyFont="1" applyAlignment="1">
      <alignment horizontal="left" vertical="top"/>
    </xf>
    <xf numFmtId="0" fontId="8"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15" fillId="0" borderId="2" xfId="0" applyFont="1" applyBorder="1" applyAlignment="1" applyProtection="1">
      <alignment vertical="top" wrapText="1"/>
      <protection locked="0"/>
    </xf>
    <xf numFmtId="0" fontId="0" fillId="8" borderId="2" xfId="0" applyFill="1" applyBorder="1" applyAlignment="1">
      <alignment vertical="top" wrapText="1"/>
    </xf>
    <xf numFmtId="0" fontId="15" fillId="8" borderId="2" xfId="0" applyFont="1" applyFill="1" applyBorder="1" applyAlignment="1" applyProtection="1">
      <alignment vertical="top" wrapText="1"/>
      <protection locked="0"/>
    </xf>
    <xf numFmtId="0" fontId="0" fillId="9" borderId="2" xfId="0" applyFill="1" applyBorder="1" applyAlignment="1">
      <alignment vertical="top" wrapText="1"/>
    </xf>
    <xf numFmtId="0" fontId="15" fillId="9" borderId="2" xfId="0" applyFont="1" applyFill="1" applyBorder="1" applyAlignment="1" applyProtection="1">
      <alignment vertical="top" wrapText="1"/>
      <protection locked="0"/>
    </xf>
    <xf numFmtId="49" fontId="15" fillId="0" borderId="2" xfId="0" applyNumberFormat="1" applyFont="1" applyFill="1" applyBorder="1" applyAlignment="1" applyProtection="1">
      <alignment vertical="top" wrapText="1"/>
      <protection locked="0"/>
    </xf>
    <xf numFmtId="0" fontId="15" fillId="0" borderId="2" xfId="0" applyFont="1" applyFill="1" applyBorder="1" applyAlignment="1" applyProtection="1">
      <alignment vertical="top" wrapText="1"/>
      <protection locked="0"/>
    </xf>
    <xf numFmtId="0" fontId="11" fillId="0" borderId="2" xfId="0" applyFont="1" applyFill="1" applyBorder="1" applyAlignment="1" applyProtection="1">
      <alignment horizontal="left" vertical="top" wrapText="1"/>
      <protection locked="0"/>
    </xf>
    <xf numFmtId="0" fontId="0" fillId="0" borderId="2" xfId="0" applyFill="1" applyBorder="1" applyAlignment="1" applyProtection="1">
      <alignment vertical="top" wrapText="1"/>
      <protection locked="0"/>
    </xf>
    <xf numFmtId="0" fontId="16" fillId="0" borderId="2" xfId="0" applyFont="1" applyBorder="1" applyAlignment="1" applyProtection="1">
      <alignment vertical="top" wrapText="1"/>
      <protection locked="0"/>
    </xf>
    <xf numFmtId="0" fontId="15" fillId="0" borderId="2" xfId="0" quotePrefix="1" applyFont="1" applyBorder="1" applyAlignment="1" applyProtection="1">
      <alignment vertical="top" wrapText="1"/>
      <protection locked="0"/>
    </xf>
    <xf numFmtId="49" fontId="16" fillId="0" borderId="2" xfId="0" applyNumberFormat="1" applyFont="1" applyFill="1" applyBorder="1" applyAlignment="1" applyProtection="1">
      <alignment vertical="top" wrapText="1"/>
      <protection locked="0"/>
    </xf>
    <xf numFmtId="0" fontId="15" fillId="0" borderId="2" xfId="0" applyFont="1" applyBorder="1" applyAlignment="1" applyProtection="1">
      <alignment horizontal="left" vertical="top" wrapText="1"/>
      <protection locked="0"/>
    </xf>
    <xf numFmtId="0" fontId="1" fillId="8" borderId="0" xfId="0" applyFont="1" applyFill="1" applyAlignment="1">
      <alignment vertical="top" wrapText="1"/>
    </xf>
    <xf numFmtId="0" fontId="0" fillId="8" borderId="2" xfId="0" applyNumberFormat="1" applyFill="1" applyBorder="1" applyAlignment="1">
      <alignment vertical="top" wrapText="1"/>
    </xf>
    <xf numFmtId="0" fontId="1" fillId="8" borderId="2" xfId="0" applyFont="1" applyFill="1" applyBorder="1" applyAlignment="1">
      <alignment vertical="top" wrapText="1"/>
    </xf>
    <xf numFmtId="0" fontId="18" fillId="9" borderId="2" xfId="0" applyFont="1" applyFill="1" applyBorder="1" applyAlignment="1">
      <alignment vertical="top" wrapText="1"/>
    </xf>
    <xf numFmtId="0" fontId="18" fillId="8" borderId="2" xfId="0" applyFont="1" applyFill="1" applyBorder="1" applyAlignment="1">
      <alignment vertical="top" wrapText="1"/>
    </xf>
    <xf numFmtId="0" fontId="1" fillId="9" borderId="2"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1">
    <cellStyle name="Normal" xfId="0" builtinId="0"/>
  </cellStyles>
  <dxfs count="2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Comment Breakdown</a:t>
            </a:r>
          </a:p>
        </c:rich>
      </c:tx>
      <c:layout>
        <c:manualLayout>
          <c:xMode val="edge"/>
          <c:yMode val="edge"/>
          <c:x val="0.3880213801399825"/>
          <c:y val="2.9787234042553193E-2"/>
        </c:manualLayout>
      </c:layout>
      <c:spPr>
        <a:noFill/>
        <a:ln w="25400">
          <a:noFill/>
        </a:ln>
      </c:spPr>
    </c:title>
    <c:view3D>
      <c:rotX val="90"/>
      <c:hPercent val="56"/>
      <c:rotY val="43"/>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0.15494811369338207"/>
          <c:y val="9.7872340425531917E-2"/>
          <c:w val="0.82812605301673003"/>
          <c:h val="0.66595744680851177"/>
        </c:manualLayout>
      </c:layout>
      <c:bar3DChart>
        <c:barDir val="col"/>
        <c:grouping val="clustered"/>
        <c:ser>
          <c:idx val="0"/>
          <c:order val="0"/>
          <c:spPr>
            <a:solidFill>
              <a:srgbClr val="9999FF"/>
            </a:solidFill>
            <a:ln w="12700">
              <a:solidFill>
                <a:srgbClr val="000000"/>
              </a:solidFill>
              <a:prstDash val="solid"/>
            </a:ln>
          </c:spPr>
          <c:dPt>
            <c:idx val="3"/>
            <c:spPr>
              <a:solidFill>
                <a:srgbClr val="99CC00"/>
              </a:solidFill>
              <a:ln w="12700">
                <a:solidFill>
                  <a:srgbClr val="000000"/>
                </a:solidFill>
                <a:prstDash val="solid"/>
              </a:ln>
            </c:spPr>
          </c:dPt>
          <c:dPt>
            <c:idx val="4"/>
            <c:spPr>
              <a:solidFill>
                <a:srgbClr val="99CC00"/>
              </a:solidFill>
              <a:ln w="12700">
                <a:solidFill>
                  <a:srgbClr val="000000"/>
                </a:solidFill>
                <a:prstDash val="solid"/>
              </a:ln>
            </c:spPr>
          </c:dPt>
          <c:dPt>
            <c:idx val="5"/>
            <c:spPr>
              <a:solidFill>
                <a:srgbClr val="99CC00"/>
              </a:solidFill>
              <a:ln w="12700">
                <a:solidFill>
                  <a:srgbClr val="000000"/>
                </a:solidFill>
                <a:prstDash val="solid"/>
              </a:ln>
            </c:spPr>
          </c:dPt>
          <c:dPt>
            <c:idx val="6"/>
            <c:spPr>
              <a:solidFill>
                <a:srgbClr val="FF0000"/>
              </a:solidFill>
              <a:ln w="12700">
                <a:solidFill>
                  <a:srgbClr val="000000"/>
                </a:solidFill>
                <a:prstDash val="solid"/>
              </a:ln>
            </c:spPr>
          </c:dPt>
          <c:dPt>
            <c:idx val="9"/>
            <c:spPr>
              <a:solidFill>
                <a:srgbClr val="99CC00"/>
              </a:solidFill>
              <a:ln w="12700">
                <a:solidFill>
                  <a:srgbClr val="000000"/>
                </a:solidFill>
                <a:prstDash val="solid"/>
              </a:ln>
            </c:spPr>
          </c:dPt>
          <c:dLbls>
            <c:spPr>
              <a:noFill/>
              <a:ln w="25400">
                <a:noFill/>
              </a:ln>
            </c:spPr>
            <c:txPr>
              <a:bodyPr/>
              <a:lstStyle/>
              <a:p>
                <a:pPr>
                  <a:defRPr sz="1150" b="0" i="0" u="none" strike="noStrike" baseline="0">
                    <a:solidFill>
                      <a:srgbClr val="000000"/>
                    </a:solidFill>
                    <a:latin typeface="Arial"/>
                    <a:ea typeface="Arial"/>
                    <a:cs typeface="Arial"/>
                  </a:defRPr>
                </a:pPr>
                <a:endParaRPr lang="en-US"/>
              </a:p>
            </c:txPr>
            <c:showVal val="1"/>
          </c:dLbls>
          <c:cat>
            <c:strRef>
              <c:f>OverView!$A$25:$A$37</c:f>
              <c:strCache>
                <c:ptCount val="13"/>
                <c:pt idx="0">
                  <c:v>Total</c:v>
                </c:pt>
                <c:pt idx="1">
                  <c:v>Editorial</c:v>
                </c:pt>
                <c:pt idx="2">
                  <c:v>General</c:v>
                </c:pt>
                <c:pt idx="3">
                  <c:v>Technical </c:v>
                </c:pt>
                <c:pt idx="4">
                  <c:v>Technical-Required </c:v>
                </c:pt>
                <c:pt idx="12">
                  <c:v>Blank</c:v>
                </c:pt>
              </c:strCache>
            </c:strRef>
          </c:cat>
          <c:val>
            <c:numRef>
              <c:f>OverView!$B$25:$B$37</c:f>
              <c:numCache>
                <c:formatCode>General</c:formatCode>
                <c:ptCount val="13"/>
                <c:pt idx="0">
                  <c:v>21</c:v>
                </c:pt>
                <c:pt idx="1">
                  <c:v>6</c:v>
                </c:pt>
                <c:pt idx="2">
                  <c:v>4</c:v>
                </c:pt>
                <c:pt idx="3">
                  <c:v>11</c:v>
                </c:pt>
                <c:pt idx="4">
                  <c:v>0</c:v>
                </c:pt>
                <c:pt idx="12">
                  <c:v>0</c:v>
                </c:pt>
              </c:numCache>
            </c:numRef>
          </c:val>
        </c:ser>
        <c:shape val="box"/>
        <c:axId val="40114816"/>
        <c:axId val="40124800"/>
        <c:axId val="0"/>
      </c:bar3DChart>
      <c:catAx>
        <c:axId val="40114816"/>
        <c:scaling>
          <c:orientation val="minMax"/>
        </c:scaling>
        <c:axPos val="b"/>
        <c:numFmt formatCode="General" sourceLinked="1"/>
        <c:tickLblPos val="low"/>
        <c:spPr>
          <a:ln w="3175">
            <a:solidFill>
              <a:srgbClr val="000000"/>
            </a:solidFill>
            <a:prstDash val="solid"/>
          </a:ln>
        </c:spPr>
        <c:txPr>
          <a:bodyPr rot="-2400000" vert="horz"/>
          <a:lstStyle/>
          <a:p>
            <a:pPr>
              <a:defRPr sz="1150" b="0" i="0" u="none" strike="noStrike" baseline="0">
                <a:solidFill>
                  <a:srgbClr val="000000"/>
                </a:solidFill>
                <a:latin typeface="Arial"/>
                <a:ea typeface="Arial"/>
                <a:cs typeface="Arial"/>
              </a:defRPr>
            </a:pPr>
            <a:endParaRPr lang="en-US"/>
          </a:p>
        </c:txPr>
        <c:crossAx val="40124800"/>
        <c:crosses val="autoZero"/>
        <c:auto val="1"/>
        <c:lblAlgn val="ctr"/>
        <c:lblOffset val="100"/>
        <c:tickLblSkip val="1"/>
        <c:tickMarkSkip val="1"/>
      </c:catAx>
      <c:valAx>
        <c:axId val="4012480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0114816"/>
        <c:crosses val="autoZero"/>
        <c:crossBetween val="between"/>
        <c:majorUnit val="250"/>
        <c:minorUnit val="100"/>
      </c:valAx>
      <c:spPr>
        <a:noFill/>
        <a:ln w="25400">
          <a:noFill/>
        </a:ln>
      </c:spPr>
    </c:plotArea>
    <c:plotVisOnly val="1"/>
    <c:dispBlanksAs val="gap"/>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57150</xdr:rowOff>
    </xdr:from>
    <xdr:to>
      <xdr:col>8</xdr:col>
      <xdr:colOff>571500</xdr:colOff>
      <xdr:row>27</xdr:row>
      <xdr:rowOff>85725</xdr:rowOff>
    </xdr:to>
    <xdr:sp macro="" textlink="">
      <xdr:nvSpPr>
        <xdr:cNvPr id="1025" name="Text Box 1"/>
        <xdr:cNvSpPr txBox="1">
          <a:spLocks noChangeArrowheads="1"/>
        </xdr:cNvSpPr>
      </xdr:nvSpPr>
      <xdr:spPr bwMode="auto">
        <a:xfrm>
          <a:off x="752475" y="3152775"/>
          <a:ext cx="4838700" cy="26289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The spreadsheet contains the combined comment submissions from P802.11p Sponsor Ballot #1</a:t>
          </a:r>
        </a:p>
      </xdr:txBody>
    </xdr:sp>
    <xdr:clientData/>
  </xdr:twoCellAnchor>
  <xdr:twoCellAnchor>
    <xdr:from>
      <xdr:col>1</xdr:col>
      <xdr:colOff>0</xdr:colOff>
      <xdr:row>26</xdr:row>
      <xdr:rowOff>19050</xdr:rowOff>
    </xdr:from>
    <xdr:to>
      <xdr:col>8</xdr:col>
      <xdr:colOff>571500</xdr:colOff>
      <xdr:row>60</xdr:row>
      <xdr:rowOff>28575</xdr:rowOff>
    </xdr:to>
    <xdr:sp macro="" textlink="">
      <xdr:nvSpPr>
        <xdr:cNvPr id="1027" name="Text Box 3"/>
        <xdr:cNvSpPr txBox="1">
          <a:spLocks noChangeArrowheads="1"/>
        </xdr:cNvSpPr>
      </xdr:nvSpPr>
      <xdr:spPr bwMode="auto">
        <a:xfrm>
          <a:off x="752475" y="5514975"/>
          <a:ext cx="4838700" cy="68103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0000FF"/>
              </a:solidFill>
              <a:latin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a:t>
          </a:r>
        </a:p>
        <a:p>
          <a:pPr algn="l" rtl="0">
            <a:defRPr sz="1000"/>
          </a:pPr>
          <a:endParaRPr lang="en-US" sz="1200" b="1" i="0" u="none" strike="noStrike" baseline="0">
            <a:solidFill>
              <a:srgbClr val="0000FF"/>
            </a:solidFill>
            <a:latin typeface="Times New Roman"/>
            <a:cs typeface="Times New Roman"/>
          </a:endParaRPr>
        </a:p>
        <a:p>
          <a:pPr algn="l" rtl="0">
            <a:defRPr sz="1000"/>
          </a:pPr>
          <a:r>
            <a:rPr lang="en-US" sz="1200" b="1" i="0" u="none" strike="noStrike" baseline="0">
              <a:solidFill>
                <a:srgbClr val="0000FF"/>
              </a:solidFill>
              <a:latin typeface="Times New Roman"/>
              <a:cs typeface="Times New Roman"/>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a:t>
          </a:r>
        </a:p>
        <a:p>
          <a:pPr algn="l" rtl="0">
            <a:defRPr sz="1000"/>
          </a:pPr>
          <a:endParaRPr lang="en-US" sz="1200" b="1" i="0" u="none" strike="noStrike" baseline="0">
            <a:solidFill>
              <a:srgbClr val="0000FF"/>
            </a:solidFill>
            <a:latin typeface="Times New Roman"/>
            <a:cs typeface="Times New Roman"/>
          </a:endParaRPr>
        </a:p>
        <a:p>
          <a:pPr algn="l" rtl="0">
            <a:defRPr sz="1000"/>
          </a:pPr>
          <a:r>
            <a:rPr lang="en-US" sz="1200" b="1" i="0" u="none" strike="noStrike" baseline="0">
              <a:solidFill>
                <a:srgbClr val="0000FF"/>
              </a:solidFill>
              <a:latin typeface="Times New Roman"/>
              <a:cs typeface="Times New Roman"/>
            </a:rPr>
            <a:t>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38</xdr:row>
      <xdr:rowOff>152400</xdr:rowOff>
    </xdr:from>
    <xdr:to>
      <xdr:col>9</xdr:col>
      <xdr:colOff>457200</xdr:colOff>
      <xdr:row>66</xdr:row>
      <xdr:rowOff>95250</xdr:rowOff>
    </xdr:to>
    <xdr:graphicFrame macro="">
      <xdr:nvGraphicFramePr>
        <xdr:cNvPr id="439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752475</xdr:colOff>
      <xdr:row>21</xdr:row>
      <xdr:rowOff>152400</xdr:rowOff>
    </xdr:from>
    <xdr:to>
      <xdr:col>7</xdr:col>
      <xdr:colOff>28575</xdr:colOff>
      <xdr:row>32</xdr:row>
      <xdr:rowOff>123825</xdr:rowOff>
    </xdr:to>
    <xdr:sp macro="" textlink="">
      <xdr:nvSpPr>
        <xdr:cNvPr id="4395" name="Line 5"/>
        <xdr:cNvSpPr>
          <a:spLocks noChangeShapeType="1"/>
        </xdr:cNvSpPr>
      </xdr:nvSpPr>
      <xdr:spPr bwMode="auto">
        <a:xfrm flipV="1">
          <a:off x="3676650" y="3743325"/>
          <a:ext cx="2000250" cy="1781175"/>
        </a:xfrm>
        <a:prstGeom prst="line">
          <a:avLst/>
        </a:prstGeom>
        <a:noFill/>
        <a:ln w="9525">
          <a:solidFill>
            <a:srgbClr val="000000"/>
          </a:solidFill>
          <a:round/>
          <a:headEnd type="triangle" w="med" len="me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I35"/>
  <sheetViews>
    <sheetView workbookViewId="0">
      <selection activeCell="B3" sqref="B3"/>
    </sheetView>
  </sheetViews>
  <sheetFormatPr defaultRowHeight="15.75"/>
  <cols>
    <col min="1" max="1" width="11.28515625" style="2" customWidth="1"/>
    <col min="2" max="16384" width="9.140625" style="2"/>
  </cols>
  <sheetData>
    <row r="1" spans="1:9" ht="18.75">
      <c r="B1" s="1" t="s">
        <v>92</v>
      </c>
    </row>
    <row r="2" spans="1:9" ht="18.75">
      <c r="B2" s="1" t="s">
        <v>73</v>
      </c>
    </row>
    <row r="3" spans="1:9" ht="18.75">
      <c r="A3" s="2" t="s">
        <v>97</v>
      </c>
      <c r="B3" s="97" t="s">
        <v>262</v>
      </c>
    </row>
    <row r="4" spans="1:9" ht="18.75">
      <c r="A4" s="2" t="s">
        <v>91</v>
      </c>
      <c r="B4" s="81" t="s">
        <v>236</v>
      </c>
      <c r="F4" s="7"/>
    </row>
    <row r="5" spans="1:9">
      <c r="A5" s="2" t="s">
        <v>96</v>
      </c>
      <c r="B5" s="8" t="s">
        <v>143</v>
      </c>
    </row>
    <row r="6" spans="1:9" s="3" customFormat="1" ht="16.5" thickBot="1"/>
    <row r="7" spans="1:9" s="4" customFormat="1" ht="18.75">
      <c r="A7" s="4" t="s">
        <v>94</v>
      </c>
      <c r="B7" s="9" t="s">
        <v>238</v>
      </c>
    </row>
    <row r="8" spans="1:9">
      <c r="A8" s="2" t="s">
        <v>99</v>
      </c>
      <c r="B8" s="82" t="s">
        <v>237</v>
      </c>
    </row>
    <row r="9" spans="1:9">
      <c r="A9" s="2" t="s">
        <v>95</v>
      </c>
      <c r="B9" s="8" t="s">
        <v>144</v>
      </c>
      <c r="C9" s="8"/>
      <c r="D9" s="8"/>
      <c r="E9" s="8"/>
      <c r="F9" s="8"/>
      <c r="G9" s="8"/>
      <c r="H9" s="8"/>
      <c r="I9" s="8"/>
    </row>
    <row r="10" spans="1:9" ht="19.5">
      <c r="B10" s="79" t="s">
        <v>145</v>
      </c>
      <c r="C10" s="8"/>
      <c r="D10" s="8"/>
      <c r="E10" s="8"/>
      <c r="F10" s="8"/>
      <c r="G10" s="8"/>
      <c r="H10" s="8"/>
      <c r="I10" s="8"/>
    </row>
    <row r="11" spans="1:9">
      <c r="B11" s="8" t="s">
        <v>146</v>
      </c>
      <c r="C11" s="8"/>
      <c r="D11" s="8"/>
      <c r="E11" s="8"/>
      <c r="F11" s="8"/>
      <c r="G11" s="8"/>
      <c r="H11" s="8"/>
      <c r="I11" s="8"/>
    </row>
    <row r="12" spans="1:9">
      <c r="B12" s="8" t="s">
        <v>147</v>
      </c>
      <c r="C12" s="8"/>
      <c r="D12" s="8"/>
      <c r="E12" s="8"/>
      <c r="F12" s="8"/>
      <c r="G12" s="8"/>
      <c r="H12" s="8"/>
      <c r="I12" s="8"/>
    </row>
    <row r="13" spans="1:9">
      <c r="B13" s="8" t="s">
        <v>148</v>
      </c>
      <c r="C13" s="8"/>
      <c r="D13" s="8"/>
      <c r="E13" s="8"/>
      <c r="F13" s="8"/>
      <c r="G13" s="8"/>
      <c r="H13" s="8"/>
      <c r="I13" s="8"/>
    </row>
    <row r="14" spans="1:9">
      <c r="B14" s="8" t="s">
        <v>149</v>
      </c>
      <c r="C14" s="8"/>
      <c r="D14" s="8"/>
      <c r="E14" s="8"/>
      <c r="F14" s="8"/>
      <c r="G14" s="8"/>
      <c r="H14" s="8"/>
      <c r="I14" s="8"/>
    </row>
    <row r="15" spans="1:9">
      <c r="A15" s="2" t="s">
        <v>93</v>
      </c>
    </row>
    <row r="27" spans="1:5" ht="15.75" customHeight="1">
      <c r="A27" s="6"/>
      <c r="B27" s="123"/>
      <c r="C27" s="123"/>
      <c r="D27" s="123"/>
      <c r="E27" s="123"/>
    </row>
    <row r="28" spans="1:5" ht="15.75" customHeight="1">
      <c r="A28" s="4"/>
      <c r="B28" s="5"/>
      <c r="C28" s="5"/>
      <c r="D28" s="5"/>
      <c r="E28" s="5"/>
    </row>
    <row r="29" spans="1:5" ht="15.75" customHeight="1">
      <c r="A29" s="4"/>
      <c r="B29" s="122"/>
      <c r="C29" s="122"/>
      <c r="D29" s="122"/>
      <c r="E29" s="122"/>
    </row>
    <row r="30" spans="1:5" ht="15.75" customHeight="1">
      <c r="A30" s="4"/>
      <c r="B30" s="5"/>
      <c r="C30" s="5"/>
      <c r="D30" s="5"/>
      <c r="E30" s="5"/>
    </row>
    <row r="31" spans="1:5" ht="15.75" customHeight="1">
      <c r="A31" s="4"/>
      <c r="B31" s="122"/>
      <c r="C31" s="122"/>
      <c r="D31" s="122"/>
      <c r="E31" s="122"/>
    </row>
    <row r="32" spans="1:5" ht="15.75" customHeight="1">
      <c r="B32" s="122"/>
      <c r="C32" s="122"/>
      <c r="D32" s="122"/>
      <c r="E32" s="122"/>
    </row>
    <row r="33" ht="15.75" customHeight="1"/>
    <row r="34" ht="15.75" customHeight="1"/>
    <row r="35" ht="15.75" customHeight="1"/>
  </sheetData>
  <mergeCells count="3">
    <mergeCell ref="B29:E29"/>
    <mergeCell ref="B27:E27"/>
    <mergeCell ref="B31:E32"/>
  </mergeCells>
  <phoneticPr fontId="6" type="noConversion"/>
  <pageMargins left="0.75" right="0.75" top="1" bottom="1" header="0.5" footer="0.5"/>
  <pageSetup orientation="portrait" r:id="rId1"/>
  <headerFooter alignWithMargins="0">
    <oddHeader>&amp;LAugust 2009&amp;C&amp;A&amp;Rdoc.: IEEE 802.11-09/0927r0</oddHeader>
    <oddFooter>&amp;LSubmission&amp;C&amp;P&amp;RWayne Fisher, ARINC, Inc.</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X54"/>
  <sheetViews>
    <sheetView tabSelected="1" zoomScale="90" zoomScaleNormal="90" workbookViewId="0">
      <pane xSplit="2655" ySplit="990" topLeftCell="S1" activePane="bottomLeft"/>
      <selection activeCell="S21" sqref="S21"/>
      <selection pane="topRight" activeCell="U1" sqref="U1"/>
      <selection pane="bottomLeft" activeCell="A2" sqref="A2"/>
      <selection pane="bottomRight" activeCell="U2" sqref="U2"/>
    </sheetView>
  </sheetViews>
  <sheetFormatPr defaultRowHeight="11.25"/>
  <cols>
    <col min="1" max="1" width="10.42578125" style="103" customWidth="1"/>
    <col min="2" max="2" width="13.42578125" style="103" customWidth="1"/>
    <col min="3" max="3" width="7.85546875" style="103" customWidth="1"/>
    <col min="4" max="4" width="18.28515625" style="103" customWidth="1"/>
    <col min="5" max="5" width="4.42578125" style="103" customWidth="1"/>
    <col min="6" max="6" width="3.5703125" style="103" customWidth="1"/>
    <col min="7" max="7" width="9.7109375" style="103" customWidth="1"/>
    <col min="8" max="8" width="6.140625" style="103" customWidth="1"/>
    <col min="9" max="9" width="12.140625" style="103" customWidth="1"/>
    <col min="10" max="10" width="11.5703125" style="103" customWidth="1"/>
    <col min="11" max="11" width="20.28515625" style="103" customWidth="1"/>
    <col min="12" max="12" width="9.42578125" style="103" customWidth="1"/>
    <col min="13" max="13" width="6.7109375" style="103" customWidth="1"/>
    <col min="14" max="14" width="12.7109375" style="115" customWidth="1"/>
    <col min="15" max="15" width="5.28515625" style="103" customWidth="1"/>
    <col min="16" max="16" width="40.140625" style="103" customWidth="1"/>
    <col min="17" max="17" width="8" style="103" customWidth="1"/>
    <col min="18" max="18" width="12" style="103" customWidth="1"/>
    <col min="19" max="19" width="38.5703125" style="103" customWidth="1"/>
    <col min="20" max="20" width="20.28515625" style="103" customWidth="1"/>
    <col min="21" max="21" width="44.42578125" style="103" customWidth="1"/>
    <col min="22" max="22" width="48" style="112" customWidth="1"/>
    <col min="23" max="23" width="50.28515625" style="103" customWidth="1"/>
    <col min="24" max="16384" width="9.140625" style="103"/>
  </cols>
  <sheetData>
    <row r="1" spans="1:24" s="101" customFormat="1" ht="38.25">
      <c r="A1" s="101" t="s">
        <v>117</v>
      </c>
      <c r="B1" s="101" t="s">
        <v>72</v>
      </c>
      <c r="C1" s="101" t="s">
        <v>118</v>
      </c>
      <c r="D1" s="101" t="s">
        <v>119</v>
      </c>
      <c r="E1" s="101" t="s">
        <v>120</v>
      </c>
      <c r="F1" s="101" t="s">
        <v>121</v>
      </c>
      <c r="G1" s="101" t="s">
        <v>122</v>
      </c>
      <c r="H1" s="101" t="s">
        <v>123</v>
      </c>
      <c r="I1" s="101" t="s">
        <v>124</v>
      </c>
      <c r="J1" s="101" t="s">
        <v>125</v>
      </c>
      <c r="K1" s="101" t="s">
        <v>126</v>
      </c>
      <c r="L1" s="101" t="s">
        <v>103</v>
      </c>
      <c r="M1" s="101" t="s">
        <v>127</v>
      </c>
      <c r="N1" s="102" t="s">
        <v>128</v>
      </c>
      <c r="O1" s="101" t="s">
        <v>129</v>
      </c>
      <c r="P1" s="101" t="s">
        <v>102</v>
      </c>
      <c r="Q1" s="101" t="s">
        <v>130</v>
      </c>
      <c r="R1" s="101" t="s">
        <v>131</v>
      </c>
      <c r="S1" s="101" t="s">
        <v>132</v>
      </c>
      <c r="T1" s="101" t="s">
        <v>133</v>
      </c>
      <c r="U1" s="101" t="s">
        <v>239</v>
      </c>
      <c r="V1" s="101" t="s">
        <v>240</v>
      </c>
      <c r="W1" s="101" t="s">
        <v>134</v>
      </c>
      <c r="X1" s="101" t="s">
        <v>135</v>
      </c>
    </row>
    <row r="2" spans="1:24" s="105" customFormat="1" ht="204">
      <c r="A2" s="104">
        <v>2001</v>
      </c>
      <c r="B2" s="104" t="s">
        <v>220</v>
      </c>
      <c r="C2" s="104">
        <v>1</v>
      </c>
      <c r="D2" s="104" t="s">
        <v>166</v>
      </c>
      <c r="E2" s="104"/>
      <c r="F2" s="104"/>
      <c r="G2" s="104" t="s">
        <v>136</v>
      </c>
      <c r="H2" s="104">
        <v>1</v>
      </c>
      <c r="I2" s="104" t="s">
        <v>139</v>
      </c>
      <c r="J2" s="104" t="s">
        <v>140</v>
      </c>
      <c r="K2" s="104" t="s">
        <v>167</v>
      </c>
      <c r="L2" s="104" t="s">
        <v>104</v>
      </c>
      <c r="M2" s="104">
        <v>27</v>
      </c>
      <c r="N2" s="104" t="s">
        <v>7</v>
      </c>
      <c r="O2" s="104">
        <v>30</v>
      </c>
      <c r="P2" s="104" t="s">
        <v>232</v>
      </c>
      <c r="Q2" s="104"/>
      <c r="R2" s="104" t="s">
        <v>115</v>
      </c>
      <c r="S2" s="104" t="s">
        <v>233</v>
      </c>
      <c r="T2" s="104" t="s">
        <v>164</v>
      </c>
      <c r="U2" s="116" t="s">
        <v>244</v>
      </c>
      <c r="V2" s="104"/>
      <c r="W2" s="104"/>
      <c r="X2" s="104"/>
    </row>
    <row r="3" spans="1:24" s="105" customFormat="1" ht="306">
      <c r="A3" s="104">
        <v>2002</v>
      </c>
      <c r="B3" s="104" t="s">
        <v>220</v>
      </c>
      <c r="C3" s="104">
        <v>2</v>
      </c>
      <c r="D3" s="104" t="s">
        <v>166</v>
      </c>
      <c r="E3" s="104"/>
      <c r="F3" s="104"/>
      <c r="G3" s="104" t="s">
        <v>136</v>
      </c>
      <c r="H3" s="104">
        <v>2</v>
      </c>
      <c r="I3" s="104" t="s">
        <v>139</v>
      </c>
      <c r="J3" s="104" t="s">
        <v>140</v>
      </c>
      <c r="K3" s="104" t="s">
        <v>167</v>
      </c>
      <c r="L3" s="104" t="s">
        <v>138</v>
      </c>
      <c r="M3" s="104">
        <v>30</v>
      </c>
      <c r="N3" s="104" t="s">
        <v>191</v>
      </c>
      <c r="O3" s="104">
        <v>3</v>
      </c>
      <c r="P3" s="117" t="s">
        <v>230</v>
      </c>
      <c r="Q3" s="104"/>
      <c r="R3" s="104" t="s">
        <v>115</v>
      </c>
      <c r="S3" s="104" t="s">
        <v>231</v>
      </c>
      <c r="T3" s="104" t="s">
        <v>170</v>
      </c>
      <c r="U3" s="118" t="s">
        <v>241</v>
      </c>
      <c r="V3" s="104"/>
      <c r="W3" s="104"/>
      <c r="X3" s="104"/>
    </row>
    <row r="4" spans="1:24" s="105" customFormat="1" ht="89.25">
      <c r="A4" s="104">
        <v>2003</v>
      </c>
      <c r="B4" s="104" t="s">
        <v>220</v>
      </c>
      <c r="C4" s="104">
        <v>3</v>
      </c>
      <c r="D4" s="104" t="s">
        <v>166</v>
      </c>
      <c r="E4" s="104"/>
      <c r="F4" s="104"/>
      <c r="G4" s="104" t="s">
        <v>136</v>
      </c>
      <c r="H4" s="104">
        <v>3</v>
      </c>
      <c r="I4" s="104" t="s">
        <v>139</v>
      </c>
      <c r="J4" s="104" t="s">
        <v>140</v>
      </c>
      <c r="K4" s="104" t="s">
        <v>167</v>
      </c>
      <c r="L4" s="104" t="s">
        <v>138</v>
      </c>
      <c r="M4" s="104">
        <v>27</v>
      </c>
      <c r="N4" s="104" t="s">
        <v>7</v>
      </c>
      <c r="O4" s="104">
        <v>33</v>
      </c>
      <c r="P4" s="104" t="s">
        <v>228</v>
      </c>
      <c r="Q4" s="104"/>
      <c r="R4" s="104" t="s">
        <v>115</v>
      </c>
      <c r="S4" s="104" t="s">
        <v>229</v>
      </c>
      <c r="T4" s="104" t="s">
        <v>164</v>
      </c>
      <c r="U4" s="118" t="s">
        <v>242</v>
      </c>
      <c r="V4" s="104"/>
      <c r="W4" s="104"/>
      <c r="X4" s="104"/>
    </row>
    <row r="5" spans="1:24" s="105" customFormat="1" ht="409.5">
      <c r="A5" s="104">
        <v>2004</v>
      </c>
      <c r="B5" s="104" t="s">
        <v>220</v>
      </c>
      <c r="C5" s="104">
        <v>4</v>
      </c>
      <c r="D5" s="104" t="s">
        <v>166</v>
      </c>
      <c r="E5" s="104"/>
      <c r="F5" s="104"/>
      <c r="G5" s="104" t="s">
        <v>136</v>
      </c>
      <c r="H5" s="104">
        <v>4</v>
      </c>
      <c r="I5" s="104" t="s">
        <v>139</v>
      </c>
      <c r="J5" s="104" t="s">
        <v>140</v>
      </c>
      <c r="K5" s="104" t="s">
        <v>167</v>
      </c>
      <c r="L5" s="104" t="s">
        <v>138</v>
      </c>
      <c r="M5" s="104">
        <v>20</v>
      </c>
      <c r="N5" s="104" t="s">
        <v>168</v>
      </c>
      <c r="O5" s="104">
        <v>14</v>
      </c>
      <c r="P5" s="104" t="s">
        <v>226</v>
      </c>
      <c r="Q5" s="104"/>
      <c r="R5" s="104" t="s">
        <v>115</v>
      </c>
      <c r="S5" s="104" t="s">
        <v>227</v>
      </c>
      <c r="T5" s="104" t="s">
        <v>170</v>
      </c>
      <c r="U5" s="118" t="s">
        <v>243</v>
      </c>
      <c r="V5" s="104"/>
      <c r="W5" s="104"/>
      <c r="X5" s="104"/>
    </row>
    <row r="6" spans="1:24" s="107" customFormat="1" ht="60">
      <c r="A6" s="106">
        <v>2005</v>
      </c>
      <c r="B6" s="106" t="s">
        <v>220</v>
      </c>
      <c r="C6" s="106">
        <v>5</v>
      </c>
      <c r="D6" s="106" t="s">
        <v>166</v>
      </c>
      <c r="E6" s="106"/>
      <c r="F6" s="106"/>
      <c r="G6" s="106" t="s">
        <v>136</v>
      </c>
      <c r="H6" s="106">
        <v>5</v>
      </c>
      <c r="I6" s="106" t="s">
        <v>139</v>
      </c>
      <c r="J6" s="106" t="s">
        <v>140</v>
      </c>
      <c r="K6" s="106" t="s">
        <v>167</v>
      </c>
      <c r="L6" s="106" t="s">
        <v>138</v>
      </c>
      <c r="M6" s="106">
        <v>24</v>
      </c>
      <c r="N6" s="106" t="s">
        <v>223</v>
      </c>
      <c r="O6" s="106">
        <v>36</v>
      </c>
      <c r="P6" s="106" t="s">
        <v>224</v>
      </c>
      <c r="Q6" s="106"/>
      <c r="R6" s="106" t="s">
        <v>115</v>
      </c>
      <c r="S6" s="106" t="s">
        <v>225</v>
      </c>
      <c r="T6" s="106" t="s">
        <v>163</v>
      </c>
      <c r="U6" s="119" t="s">
        <v>245</v>
      </c>
      <c r="V6" s="106"/>
      <c r="W6" s="106"/>
      <c r="X6" s="106"/>
    </row>
    <row r="7" spans="1:24" s="105" customFormat="1" ht="114.75">
      <c r="A7" s="104">
        <v>2006</v>
      </c>
      <c r="B7" s="104" t="s">
        <v>220</v>
      </c>
      <c r="C7" s="104">
        <v>6</v>
      </c>
      <c r="D7" s="104" t="s">
        <v>166</v>
      </c>
      <c r="E7" s="104"/>
      <c r="F7" s="104"/>
      <c r="G7" s="104" t="s">
        <v>136</v>
      </c>
      <c r="H7" s="104">
        <v>6</v>
      </c>
      <c r="I7" s="104" t="s">
        <v>139</v>
      </c>
      <c r="J7" s="104" t="s">
        <v>140</v>
      </c>
      <c r="K7" s="104" t="s">
        <v>167</v>
      </c>
      <c r="L7" s="104" t="s">
        <v>104</v>
      </c>
      <c r="M7" s="104">
        <v>27</v>
      </c>
      <c r="N7" s="104" t="s">
        <v>7</v>
      </c>
      <c r="O7" s="104">
        <v>53</v>
      </c>
      <c r="P7" s="104" t="s">
        <v>221</v>
      </c>
      <c r="Q7" s="104"/>
      <c r="R7" s="104" t="s">
        <v>115</v>
      </c>
      <c r="S7" s="104" t="s">
        <v>222</v>
      </c>
      <c r="T7" s="104" t="s">
        <v>164</v>
      </c>
      <c r="U7" s="118" t="s">
        <v>246</v>
      </c>
      <c r="V7" s="104"/>
      <c r="W7" s="104"/>
      <c r="X7" s="104"/>
    </row>
    <row r="8" spans="1:24" s="105" customFormat="1" ht="369.75">
      <c r="A8" s="104">
        <v>2007</v>
      </c>
      <c r="B8" s="104" t="s">
        <v>217</v>
      </c>
      <c r="C8" s="104">
        <v>7</v>
      </c>
      <c r="D8" s="104" t="s">
        <v>169</v>
      </c>
      <c r="E8" s="104"/>
      <c r="F8" s="104"/>
      <c r="G8" s="104" t="s">
        <v>136</v>
      </c>
      <c r="H8" s="104">
        <v>1</v>
      </c>
      <c r="I8" s="104" t="s">
        <v>139</v>
      </c>
      <c r="J8" s="104" t="s">
        <v>140</v>
      </c>
      <c r="K8" s="104" t="s">
        <v>167</v>
      </c>
      <c r="L8" s="104" t="s">
        <v>138</v>
      </c>
      <c r="M8" s="104">
        <v>8</v>
      </c>
      <c r="N8" s="104" t="s">
        <v>165</v>
      </c>
      <c r="O8" s="104">
        <v>4</v>
      </c>
      <c r="P8" s="104" t="s">
        <v>218</v>
      </c>
      <c r="Q8" s="104"/>
      <c r="R8" s="104" t="s">
        <v>115</v>
      </c>
      <c r="S8" s="104" t="s">
        <v>219</v>
      </c>
      <c r="T8" s="104" t="s">
        <v>164</v>
      </c>
      <c r="U8" s="118" t="s">
        <v>261</v>
      </c>
      <c r="V8" s="104"/>
      <c r="W8" s="104"/>
      <c r="X8" s="104"/>
    </row>
    <row r="9" spans="1:24" s="105" customFormat="1" ht="348">
      <c r="A9" s="104">
        <v>2008</v>
      </c>
      <c r="B9" s="104" t="s">
        <v>213</v>
      </c>
      <c r="C9" s="104">
        <v>8</v>
      </c>
      <c r="D9" s="104" t="s">
        <v>141</v>
      </c>
      <c r="E9" s="104"/>
      <c r="F9" s="104"/>
      <c r="G9" s="104" t="s">
        <v>136</v>
      </c>
      <c r="H9" s="104">
        <v>1</v>
      </c>
      <c r="I9" s="104" t="s">
        <v>139</v>
      </c>
      <c r="J9" s="104" t="s">
        <v>140</v>
      </c>
      <c r="K9" s="104" t="s">
        <v>142</v>
      </c>
      <c r="L9" s="104" t="s">
        <v>138</v>
      </c>
      <c r="M9" s="104">
        <v>10</v>
      </c>
      <c r="N9" s="104" t="s">
        <v>214</v>
      </c>
      <c r="O9" s="104">
        <v>25</v>
      </c>
      <c r="P9" s="104" t="s">
        <v>215</v>
      </c>
      <c r="Q9" s="104"/>
      <c r="R9" s="104" t="s">
        <v>115</v>
      </c>
      <c r="S9" s="104" t="s">
        <v>216</v>
      </c>
      <c r="T9" s="104" t="s">
        <v>170</v>
      </c>
      <c r="U9" s="120" t="s">
        <v>247</v>
      </c>
      <c r="V9" s="104"/>
      <c r="W9" s="104"/>
      <c r="X9" s="104"/>
    </row>
    <row r="10" spans="1:24" s="105" customFormat="1" ht="114.75">
      <c r="A10" s="104">
        <v>2009</v>
      </c>
      <c r="B10" s="104" t="s">
        <v>210</v>
      </c>
      <c r="C10" s="104">
        <v>9</v>
      </c>
      <c r="D10" s="104" t="s">
        <v>141</v>
      </c>
      <c r="E10" s="104"/>
      <c r="F10" s="104"/>
      <c r="G10" s="104" t="s">
        <v>136</v>
      </c>
      <c r="H10" s="104">
        <v>2</v>
      </c>
      <c r="I10" s="104" t="s">
        <v>139</v>
      </c>
      <c r="J10" s="104" t="s">
        <v>140</v>
      </c>
      <c r="K10" s="104" t="s">
        <v>142</v>
      </c>
      <c r="L10" s="104" t="s">
        <v>108</v>
      </c>
      <c r="M10" s="104">
        <v>18</v>
      </c>
      <c r="N10" s="104">
        <v>11.1</v>
      </c>
      <c r="O10" s="104">
        <v>11</v>
      </c>
      <c r="P10" s="104" t="s">
        <v>211</v>
      </c>
      <c r="Q10" s="104"/>
      <c r="R10" s="104" t="s">
        <v>115</v>
      </c>
      <c r="S10" s="104" t="s">
        <v>212</v>
      </c>
      <c r="T10" s="104" t="s">
        <v>170</v>
      </c>
      <c r="U10" s="118" t="s">
        <v>248</v>
      </c>
      <c r="V10" s="104"/>
      <c r="W10" s="104"/>
      <c r="X10" s="104"/>
    </row>
    <row r="11" spans="1:24" s="105" customFormat="1" ht="409.5">
      <c r="A11" s="104">
        <v>2010</v>
      </c>
      <c r="B11" s="104" t="s">
        <v>207</v>
      </c>
      <c r="C11" s="104">
        <v>10</v>
      </c>
      <c r="D11" s="104" t="s">
        <v>141</v>
      </c>
      <c r="E11" s="104"/>
      <c r="F11" s="104"/>
      <c r="G11" s="104" t="s">
        <v>136</v>
      </c>
      <c r="H11" s="104">
        <v>3</v>
      </c>
      <c r="I11" s="104" t="s">
        <v>139</v>
      </c>
      <c r="J11" s="104" t="s">
        <v>140</v>
      </c>
      <c r="K11" s="104" t="s">
        <v>142</v>
      </c>
      <c r="L11" s="104" t="s">
        <v>108</v>
      </c>
      <c r="M11" s="104">
        <v>19</v>
      </c>
      <c r="N11" s="104">
        <v>11.2</v>
      </c>
      <c r="O11" s="104">
        <v>8</v>
      </c>
      <c r="P11" s="117" t="s">
        <v>208</v>
      </c>
      <c r="Q11" s="104"/>
      <c r="R11" s="104" t="s">
        <v>115</v>
      </c>
      <c r="S11" s="104" t="s">
        <v>209</v>
      </c>
      <c r="T11" s="104" t="s">
        <v>170</v>
      </c>
      <c r="U11" s="118" t="s">
        <v>249</v>
      </c>
      <c r="V11" s="104"/>
      <c r="W11" s="104"/>
      <c r="X11" s="104"/>
    </row>
    <row r="12" spans="1:24" s="105" customFormat="1" ht="382.5">
      <c r="A12" s="104">
        <v>2011</v>
      </c>
      <c r="B12" s="104" t="s">
        <v>200</v>
      </c>
      <c r="C12" s="104">
        <v>11</v>
      </c>
      <c r="D12" s="104" t="s">
        <v>151</v>
      </c>
      <c r="E12" s="104"/>
      <c r="F12" s="104"/>
      <c r="G12" s="104" t="s">
        <v>136</v>
      </c>
      <c r="H12" s="104">
        <v>1</v>
      </c>
      <c r="I12" s="104" t="s">
        <v>152</v>
      </c>
      <c r="J12" s="104" t="s">
        <v>137</v>
      </c>
      <c r="K12" s="104" t="s">
        <v>153</v>
      </c>
      <c r="L12" s="104" t="s">
        <v>104</v>
      </c>
      <c r="M12" s="104">
        <v>3</v>
      </c>
      <c r="N12" s="104" t="s">
        <v>156</v>
      </c>
      <c r="O12" s="104">
        <v>38</v>
      </c>
      <c r="P12" s="104" t="s">
        <v>205</v>
      </c>
      <c r="Q12" s="104"/>
      <c r="R12" s="104" t="s">
        <v>116</v>
      </c>
      <c r="S12" s="104" t="s">
        <v>206</v>
      </c>
      <c r="T12" s="104" t="s">
        <v>170</v>
      </c>
      <c r="U12" s="118" t="s">
        <v>250</v>
      </c>
      <c r="V12" s="104"/>
      <c r="W12" s="104"/>
      <c r="X12" s="104"/>
    </row>
    <row r="13" spans="1:24" s="107" customFormat="1" ht="127.5">
      <c r="A13" s="106">
        <v>2012</v>
      </c>
      <c r="B13" s="106" t="s">
        <v>200</v>
      </c>
      <c r="C13" s="106">
        <v>12</v>
      </c>
      <c r="D13" s="106" t="s">
        <v>151</v>
      </c>
      <c r="E13" s="106"/>
      <c r="F13" s="106"/>
      <c r="G13" s="106" t="s">
        <v>136</v>
      </c>
      <c r="H13" s="106">
        <v>2</v>
      </c>
      <c r="I13" s="106" t="s">
        <v>152</v>
      </c>
      <c r="J13" s="106" t="s">
        <v>137</v>
      </c>
      <c r="K13" s="106" t="s">
        <v>153</v>
      </c>
      <c r="L13" s="106" t="s">
        <v>104</v>
      </c>
      <c r="M13" s="106">
        <v>8</v>
      </c>
      <c r="N13" s="106" t="s">
        <v>165</v>
      </c>
      <c r="O13" s="106">
        <v>27</v>
      </c>
      <c r="P13" s="106" t="s">
        <v>203</v>
      </c>
      <c r="Q13" s="106"/>
      <c r="R13" s="106" t="s">
        <v>116</v>
      </c>
      <c r="S13" s="106" t="s">
        <v>204</v>
      </c>
      <c r="T13" s="106" t="s">
        <v>163</v>
      </c>
      <c r="U13" s="121" t="s">
        <v>251</v>
      </c>
      <c r="V13" s="106"/>
      <c r="W13" s="106"/>
      <c r="X13" s="106"/>
    </row>
    <row r="14" spans="1:24" s="105" customFormat="1" ht="48">
      <c r="A14" s="104">
        <v>2013</v>
      </c>
      <c r="B14" s="104" t="s">
        <v>200</v>
      </c>
      <c r="C14" s="104">
        <v>13</v>
      </c>
      <c r="D14" s="104" t="s">
        <v>151</v>
      </c>
      <c r="E14" s="104"/>
      <c r="F14" s="104"/>
      <c r="G14" s="104" t="s">
        <v>136</v>
      </c>
      <c r="H14" s="104">
        <v>3</v>
      </c>
      <c r="I14" s="104" t="s">
        <v>152</v>
      </c>
      <c r="J14" s="104" t="s">
        <v>137</v>
      </c>
      <c r="K14" s="104" t="s">
        <v>153</v>
      </c>
      <c r="L14" s="104" t="s">
        <v>104</v>
      </c>
      <c r="M14" s="104">
        <v>22</v>
      </c>
      <c r="N14" s="104" t="s">
        <v>154</v>
      </c>
      <c r="O14" s="104">
        <v>35</v>
      </c>
      <c r="P14" s="104" t="s">
        <v>201</v>
      </c>
      <c r="Q14" s="104"/>
      <c r="R14" s="104" t="s">
        <v>116</v>
      </c>
      <c r="S14" s="104" t="s">
        <v>202</v>
      </c>
      <c r="T14" s="104" t="s">
        <v>164</v>
      </c>
      <c r="U14" s="120" t="s">
        <v>252</v>
      </c>
      <c r="V14" s="104"/>
      <c r="W14" s="104"/>
      <c r="X14" s="104"/>
    </row>
    <row r="15" spans="1:24" s="105" customFormat="1" ht="408">
      <c r="A15" s="104">
        <v>2014</v>
      </c>
      <c r="B15" s="104" t="s">
        <v>197</v>
      </c>
      <c r="C15" s="104">
        <v>14</v>
      </c>
      <c r="D15" s="104" t="s">
        <v>161</v>
      </c>
      <c r="E15" s="104"/>
      <c r="F15" s="104"/>
      <c r="G15" s="104" t="s">
        <v>136</v>
      </c>
      <c r="H15" s="104">
        <v>1</v>
      </c>
      <c r="I15" s="104" t="s">
        <v>152</v>
      </c>
      <c r="J15" s="104" t="s">
        <v>137</v>
      </c>
      <c r="K15" s="104" t="s">
        <v>162</v>
      </c>
      <c r="L15" s="104" t="s">
        <v>138</v>
      </c>
      <c r="M15" s="104">
        <v>15</v>
      </c>
      <c r="N15" s="104" t="s">
        <v>155</v>
      </c>
      <c r="O15" s="104">
        <v>12</v>
      </c>
      <c r="P15" s="104" t="s">
        <v>198</v>
      </c>
      <c r="Q15" s="104"/>
      <c r="R15" s="104" t="s">
        <v>116</v>
      </c>
      <c r="S15" s="104" t="s">
        <v>199</v>
      </c>
      <c r="T15" s="104" t="s">
        <v>164</v>
      </c>
      <c r="U15" s="118" t="s">
        <v>253</v>
      </c>
      <c r="V15" s="104"/>
      <c r="W15" s="104"/>
      <c r="X15" s="104"/>
    </row>
    <row r="16" spans="1:24" s="105" customFormat="1" ht="382.5">
      <c r="A16" s="104">
        <v>2015</v>
      </c>
      <c r="B16" s="104" t="s">
        <v>194</v>
      </c>
      <c r="C16" s="104">
        <v>15</v>
      </c>
      <c r="D16" s="104" t="s">
        <v>161</v>
      </c>
      <c r="E16" s="104"/>
      <c r="F16" s="104"/>
      <c r="G16" s="104" t="s">
        <v>136</v>
      </c>
      <c r="H16" s="104">
        <v>2</v>
      </c>
      <c r="I16" s="104" t="s">
        <v>152</v>
      </c>
      <c r="J16" s="104" t="s">
        <v>137</v>
      </c>
      <c r="K16" s="104" t="s">
        <v>162</v>
      </c>
      <c r="L16" s="104" t="s">
        <v>138</v>
      </c>
      <c r="M16" s="104">
        <v>28</v>
      </c>
      <c r="N16" s="104" t="s">
        <v>173</v>
      </c>
      <c r="O16" s="104"/>
      <c r="P16" s="104" t="s">
        <v>195</v>
      </c>
      <c r="Q16" s="104"/>
      <c r="R16" s="104" t="s">
        <v>116</v>
      </c>
      <c r="S16" s="104" t="s">
        <v>196</v>
      </c>
      <c r="T16" s="104" t="s">
        <v>170</v>
      </c>
      <c r="U16" s="118" t="s">
        <v>254</v>
      </c>
      <c r="V16" s="104"/>
      <c r="W16" s="104"/>
      <c r="X16" s="104"/>
    </row>
    <row r="17" spans="1:24" s="105" customFormat="1" ht="204">
      <c r="A17" s="104">
        <v>2016</v>
      </c>
      <c r="B17" s="104" t="s">
        <v>190</v>
      </c>
      <c r="C17" s="104">
        <v>16</v>
      </c>
      <c r="D17" s="104" t="s">
        <v>161</v>
      </c>
      <c r="E17" s="104"/>
      <c r="F17" s="104"/>
      <c r="G17" s="104" t="s">
        <v>136</v>
      </c>
      <c r="H17" s="104">
        <v>3</v>
      </c>
      <c r="I17" s="104" t="s">
        <v>152</v>
      </c>
      <c r="J17" s="104" t="s">
        <v>137</v>
      </c>
      <c r="K17" s="104" t="s">
        <v>162</v>
      </c>
      <c r="L17" s="104" t="s">
        <v>138</v>
      </c>
      <c r="M17" s="104">
        <v>29</v>
      </c>
      <c r="N17" s="104" t="s">
        <v>191</v>
      </c>
      <c r="O17" s="104">
        <v>40</v>
      </c>
      <c r="P17" s="104" t="s">
        <v>192</v>
      </c>
      <c r="Q17" s="104"/>
      <c r="R17" s="104" t="s">
        <v>116</v>
      </c>
      <c r="S17" s="104" t="s">
        <v>193</v>
      </c>
      <c r="T17" s="104" t="s">
        <v>164</v>
      </c>
      <c r="U17" s="118" t="s">
        <v>255</v>
      </c>
      <c r="V17" s="104"/>
      <c r="W17" s="104"/>
      <c r="X17" s="104"/>
    </row>
    <row r="18" spans="1:24" s="105" customFormat="1" ht="204">
      <c r="A18" s="104">
        <v>2017</v>
      </c>
      <c r="B18" s="104" t="s">
        <v>187</v>
      </c>
      <c r="C18" s="104">
        <v>17</v>
      </c>
      <c r="D18" s="104" t="s">
        <v>161</v>
      </c>
      <c r="E18" s="104"/>
      <c r="F18" s="104"/>
      <c r="G18" s="104" t="s">
        <v>136</v>
      </c>
      <c r="H18" s="104">
        <v>4</v>
      </c>
      <c r="I18" s="104" t="s">
        <v>152</v>
      </c>
      <c r="J18" s="104" t="s">
        <v>137</v>
      </c>
      <c r="K18" s="104" t="s">
        <v>162</v>
      </c>
      <c r="L18" s="104" t="s">
        <v>104</v>
      </c>
      <c r="M18" s="104"/>
      <c r="N18" s="104"/>
      <c r="O18" s="104"/>
      <c r="P18" s="104" t="s">
        <v>188</v>
      </c>
      <c r="Q18" s="104"/>
      <c r="R18" s="104" t="s">
        <v>116</v>
      </c>
      <c r="S18" s="104" t="s">
        <v>189</v>
      </c>
      <c r="T18" s="104" t="s">
        <v>164</v>
      </c>
      <c r="U18" s="118" t="s">
        <v>256</v>
      </c>
      <c r="V18" s="104"/>
      <c r="W18" s="104"/>
      <c r="X18" s="104"/>
    </row>
    <row r="19" spans="1:24" s="105" customFormat="1" ht="229.5">
      <c r="A19" s="104">
        <v>2018</v>
      </c>
      <c r="B19" s="104" t="s">
        <v>178</v>
      </c>
      <c r="C19" s="104">
        <v>18</v>
      </c>
      <c r="D19" s="104" t="s">
        <v>179</v>
      </c>
      <c r="E19" s="104"/>
      <c r="F19" s="104"/>
      <c r="G19" s="104" t="s">
        <v>136</v>
      </c>
      <c r="H19" s="104">
        <v>1</v>
      </c>
      <c r="I19" s="104" t="s">
        <v>152</v>
      </c>
      <c r="J19" s="104" t="s">
        <v>140</v>
      </c>
      <c r="K19" s="104" t="s">
        <v>180</v>
      </c>
      <c r="L19" s="104" t="s">
        <v>108</v>
      </c>
      <c r="M19" s="104"/>
      <c r="N19" s="104"/>
      <c r="O19" s="104"/>
      <c r="P19" s="117" t="s">
        <v>185</v>
      </c>
      <c r="Q19" s="104"/>
      <c r="R19" s="104" t="s">
        <v>115</v>
      </c>
      <c r="S19" s="117" t="s">
        <v>186</v>
      </c>
      <c r="T19" s="104" t="s">
        <v>170</v>
      </c>
      <c r="U19" s="118" t="s">
        <v>257</v>
      </c>
      <c r="V19" s="104"/>
      <c r="W19" s="104"/>
      <c r="X19" s="104"/>
    </row>
    <row r="20" spans="1:24" s="105" customFormat="1" ht="229.5">
      <c r="A20" s="104">
        <v>2019</v>
      </c>
      <c r="B20" s="104" t="s">
        <v>178</v>
      </c>
      <c r="C20" s="104">
        <v>19</v>
      </c>
      <c r="D20" s="104" t="s">
        <v>179</v>
      </c>
      <c r="E20" s="104"/>
      <c r="F20" s="104"/>
      <c r="G20" s="104" t="s">
        <v>136</v>
      </c>
      <c r="H20" s="104">
        <v>2</v>
      </c>
      <c r="I20" s="104" t="s">
        <v>152</v>
      </c>
      <c r="J20" s="104" t="s">
        <v>140</v>
      </c>
      <c r="K20" s="104" t="s">
        <v>180</v>
      </c>
      <c r="L20" s="104" t="s">
        <v>138</v>
      </c>
      <c r="M20" s="104">
        <v>33</v>
      </c>
      <c r="N20" s="104" t="s">
        <v>159</v>
      </c>
      <c r="O20" s="104">
        <v>9</v>
      </c>
      <c r="P20" s="104" t="s">
        <v>183</v>
      </c>
      <c r="Q20" s="104"/>
      <c r="R20" s="104" t="s">
        <v>115</v>
      </c>
      <c r="S20" s="104" t="s">
        <v>184</v>
      </c>
      <c r="T20" s="104" t="s">
        <v>170</v>
      </c>
      <c r="U20" s="118" t="s">
        <v>258</v>
      </c>
      <c r="V20" s="104"/>
      <c r="W20" s="104"/>
      <c r="X20" s="104"/>
    </row>
    <row r="21" spans="1:24" s="105" customFormat="1" ht="344.25">
      <c r="A21" s="104">
        <v>2020</v>
      </c>
      <c r="B21" s="104" t="s">
        <v>178</v>
      </c>
      <c r="C21" s="104">
        <v>20</v>
      </c>
      <c r="D21" s="104" t="s">
        <v>179</v>
      </c>
      <c r="E21" s="104"/>
      <c r="F21" s="104"/>
      <c r="G21" s="104" t="s">
        <v>136</v>
      </c>
      <c r="H21" s="104">
        <v>3</v>
      </c>
      <c r="I21" s="104" t="s">
        <v>152</v>
      </c>
      <c r="J21" s="104" t="s">
        <v>140</v>
      </c>
      <c r="K21" s="104" t="s">
        <v>180</v>
      </c>
      <c r="L21" s="104" t="s">
        <v>138</v>
      </c>
      <c r="M21" s="104">
        <v>20</v>
      </c>
      <c r="N21" s="104">
        <v>11.2</v>
      </c>
      <c r="O21" s="104">
        <v>17</v>
      </c>
      <c r="P21" s="104" t="s">
        <v>181</v>
      </c>
      <c r="Q21" s="104"/>
      <c r="R21" s="104" t="s">
        <v>115</v>
      </c>
      <c r="S21" s="104" t="s">
        <v>182</v>
      </c>
      <c r="T21" s="104" t="s">
        <v>170</v>
      </c>
      <c r="U21" s="118" t="s">
        <v>259</v>
      </c>
      <c r="V21" s="104"/>
      <c r="W21" s="104"/>
      <c r="X21" s="104"/>
    </row>
    <row r="22" spans="1:24" s="105" customFormat="1" ht="395.25">
      <c r="A22" s="104">
        <v>2021</v>
      </c>
      <c r="B22" s="104" t="s">
        <v>175</v>
      </c>
      <c r="C22" s="104">
        <v>21</v>
      </c>
      <c r="D22" s="104" t="s">
        <v>157</v>
      </c>
      <c r="E22" s="104"/>
      <c r="F22" s="104"/>
      <c r="G22" s="104" t="s">
        <v>136</v>
      </c>
      <c r="H22" s="104">
        <v>1</v>
      </c>
      <c r="I22" s="104" t="s">
        <v>139</v>
      </c>
      <c r="J22" s="104" t="s">
        <v>137</v>
      </c>
      <c r="K22" s="104" t="s">
        <v>158</v>
      </c>
      <c r="L22" s="104" t="s">
        <v>108</v>
      </c>
      <c r="M22" s="104">
        <v>32</v>
      </c>
      <c r="N22" s="104" t="s">
        <v>160</v>
      </c>
      <c r="O22" s="104">
        <v>43</v>
      </c>
      <c r="P22" s="117" t="s">
        <v>176</v>
      </c>
      <c r="Q22" s="104"/>
      <c r="R22" s="104" t="s">
        <v>116</v>
      </c>
      <c r="S22" s="104" t="s">
        <v>177</v>
      </c>
      <c r="T22" s="104" t="s">
        <v>164</v>
      </c>
      <c r="U22" s="118" t="s">
        <v>260</v>
      </c>
      <c r="V22" s="104"/>
      <c r="W22" s="104"/>
      <c r="X22" s="104"/>
    </row>
    <row r="23" spans="1:24" ht="12.75">
      <c r="C23" s="108"/>
      <c r="D23" s="108"/>
      <c r="E23" s="108"/>
      <c r="F23" s="109"/>
      <c r="G23" s="109"/>
      <c r="H23" s="109"/>
      <c r="N23" s="110"/>
      <c r="O23" s="111"/>
    </row>
    <row r="24" spans="1:24" ht="12.75">
      <c r="C24" s="108"/>
      <c r="D24" s="108"/>
      <c r="E24" s="108"/>
      <c r="F24" s="109"/>
      <c r="G24" s="109"/>
      <c r="H24" s="109"/>
      <c r="N24" s="110"/>
      <c r="O24" s="111"/>
    </row>
    <row r="25" spans="1:24" ht="12.75">
      <c r="C25" s="108"/>
      <c r="D25" s="108"/>
      <c r="E25" s="108"/>
      <c r="F25" s="109"/>
      <c r="G25" s="109"/>
      <c r="H25" s="109"/>
      <c r="N25" s="110"/>
      <c r="O25" s="111"/>
      <c r="P25" s="113"/>
    </row>
    <row r="26" spans="1:24" ht="12.75">
      <c r="C26" s="108"/>
      <c r="D26" s="108"/>
      <c r="E26" s="108"/>
      <c r="F26" s="109"/>
      <c r="G26" s="109"/>
      <c r="H26" s="109"/>
      <c r="N26" s="110"/>
      <c r="O26" s="111"/>
      <c r="P26" s="113"/>
    </row>
    <row r="27" spans="1:24" ht="12.75">
      <c r="C27" s="108"/>
      <c r="D27" s="108"/>
      <c r="E27" s="108"/>
      <c r="F27" s="109"/>
      <c r="G27" s="109"/>
      <c r="H27" s="109"/>
      <c r="N27" s="110"/>
      <c r="O27" s="111"/>
      <c r="P27" s="113"/>
    </row>
    <row r="28" spans="1:24" ht="12.75">
      <c r="C28" s="108"/>
      <c r="D28" s="108"/>
      <c r="E28" s="108"/>
      <c r="F28" s="109"/>
      <c r="G28" s="109"/>
      <c r="H28" s="109"/>
      <c r="N28" s="110"/>
      <c r="O28" s="111"/>
    </row>
    <row r="29" spans="1:24" ht="12.75">
      <c r="C29" s="108"/>
      <c r="D29" s="108"/>
      <c r="E29" s="108"/>
      <c r="F29" s="109"/>
      <c r="G29" s="109"/>
      <c r="H29" s="109"/>
      <c r="N29" s="110"/>
      <c r="O29" s="111"/>
      <c r="P29" s="113"/>
    </row>
    <row r="30" spans="1:24" ht="12.75">
      <c r="C30" s="108"/>
      <c r="D30" s="108"/>
      <c r="E30" s="108"/>
      <c r="F30" s="109"/>
      <c r="G30" s="109"/>
      <c r="H30" s="109"/>
      <c r="N30" s="110"/>
      <c r="O30" s="111"/>
      <c r="P30" s="113"/>
    </row>
    <row r="31" spans="1:24" ht="12.75">
      <c r="C31" s="108"/>
      <c r="D31" s="108"/>
      <c r="E31" s="108"/>
      <c r="F31" s="109"/>
      <c r="G31" s="109"/>
      <c r="H31" s="109"/>
      <c r="N31" s="110"/>
      <c r="O31" s="111"/>
      <c r="P31" s="113"/>
    </row>
    <row r="32" spans="1:24" ht="12.75">
      <c r="C32" s="108"/>
      <c r="D32" s="108"/>
      <c r="E32" s="108"/>
      <c r="F32" s="109"/>
      <c r="G32" s="109"/>
      <c r="H32" s="109"/>
      <c r="N32" s="110"/>
      <c r="O32" s="111"/>
    </row>
    <row r="33" spans="3:16" ht="12.75">
      <c r="C33" s="108"/>
      <c r="D33" s="108"/>
      <c r="E33" s="108"/>
      <c r="F33" s="109"/>
      <c r="G33" s="109"/>
      <c r="H33" s="109"/>
      <c r="N33" s="110"/>
      <c r="O33" s="111"/>
      <c r="P33" s="113"/>
    </row>
    <row r="34" spans="3:16" ht="12.75">
      <c r="C34" s="108"/>
      <c r="D34" s="108"/>
      <c r="E34" s="108"/>
      <c r="F34" s="109"/>
      <c r="G34" s="109"/>
      <c r="H34" s="109"/>
      <c r="N34" s="110"/>
      <c r="O34" s="111"/>
      <c r="P34" s="113"/>
    </row>
    <row r="35" spans="3:16" ht="12.75">
      <c r="C35" s="108"/>
      <c r="D35" s="108"/>
      <c r="E35" s="108"/>
      <c r="F35" s="109"/>
      <c r="G35" s="109"/>
      <c r="H35" s="109"/>
      <c r="N35" s="110"/>
      <c r="O35" s="111"/>
      <c r="P35" s="113"/>
    </row>
    <row r="36" spans="3:16" ht="12.75">
      <c r="C36" s="108"/>
      <c r="D36" s="108"/>
      <c r="E36" s="108"/>
      <c r="F36" s="109"/>
      <c r="G36" s="109"/>
      <c r="H36" s="109"/>
      <c r="N36" s="110"/>
      <c r="O36" s="111"/>
      <c r="P36" s="113"/>
    </row>
    <row r="37" spans="3:16" ht="12.75">
      <c r="C37" s="108"/>
      <c r="D37" s="108"/>
      <c r="E37" s="108"/>
      <c r="F37" s="109"/>
      <c r="G37" s="109"/>
      <c r="H37" s="109"/>
      <c r="N37" s="110"/>
      <c r="O37" s="111"/>
      <c r="P37" s="113"/>
    </row>
    <row r="38" spans="3:16" ht="12.75">
      <c r="C38" s="108"/>
      <c r="D38" s="108"/>
      <c r="E38" s="108"/>
      <c r="F38" s="109"/>
      <c r="G38" s="109"/>
      <c r="H38" s="109"/>
      <c r="N38" s="110"/>
      <c r="O38" s="111"/>
      <c r="P38" s="113"/>
    </row>
    <row r="39" spans="3:16" ht="12.75">
      <c r="C39" s="108"/>
      <c r="D39" s="108"/>
      <c r="E39" s="108"/>
      <c r="F39" s="109"/>
      <c r="G39" s="109"/>
      <c r="H39" s="109"/>
      <c r="N39" s="110"/>
      <c r="O39" s="111"/>
      <c r="P39" s="113"/>
    </row>
    <row r="40" spans="3:16" ht="12.75">
      <c r="C40" s="108"/>
      <c r="D40" s="108"/>
      <c r="E40" s="108"/>
      <c r="F40" s="109"/>
      <c r="G40" s="109"/>
      <c r="H40" s="109"/>
      <c r="N40" s="110"/>
      <c r="O40" s="111"/>
      <c r="P40" s="113"/>
    </row>
    <row r="41" spans="3:16" ht="12.75">
      <c r="C41" s="108"/>
      <c r="D41" s="108"/>
      <c r="E41" s="108"/>
      <c r="F41" s="109"/>
      <c r="G41" s="109"/>
      <c r="H41" s="109"/>
      <c r="N41" s="110"/>
      <c r="O41" s="111"/>
    </row>
    <row r="42" spans="3:16" ht="12.75">
      <c r="C42" s="108"/>
      <c r="D42" s="108"/>
      <c r="E42" s="108"/>
      <c r="F42" s="109"/>
      <c r="G42" s="109"/>
      <c r="H42" s="109"/>
      <c r="N42" s="110"/>
      <c r="O42" s="111"/>
    </row>
    <row r="43" spans="3:16" ht="12.75">
      <c r="C43" s="114"/>
      <c r="D43" s="108"/>
      <c r="E43" s="108"/>
      <c r="F43" s="109"/>
      <c r="G43" s="109"/>
      <c r="H43" s="109"/>
      <c r="N43" s="110"/>
      <c r="O43" s="111"/>
      <c r="P43" s="113"/>
    </row>
    <row r="44" spans="3:16" ht="12.75">
      <c r="C44" s="108"/>
      <c r="D44" s="108"/>
      <c r="E44" s="108"/>
      <c r="F44" s="109"/>
      <c r="G44" s="109"/>
      <c r="H44" s="109"/>
      <c r="N44" s="110"/>
      <c r="O44" s="111"/>
    </row>
    <row r="45" spans="3:16" ht="12.75">
      <c r="C45" s="108"/>
      <c r="D45" s="108"/>
      <c r="E45" s="108"/>
      <c r="F45" s="109"/>
      <c r="G45" s="109"/>
      <c r="H45" s="109"/>
      <c r="N45" s="110"/>
      <c r="O45" s="111"/>
      <c r="P45" s="113"/>
    </row>
    <row r="46" spans="3:16" ht="12.75">
      <c r="C46" s="108"/>
      <c r="D46" s="108"/>
      <c r="E46" s="108"/>
      <c r="F46" s="109"/>
      <c r="G46" s="109"/>
      <c r="H46" s="109"/>
      <c r="N46" s="110"/>
      <c r="O46" s="111"/>
      <c r="P46" s="113"/>
    </row>
    <row r="47" spans="3:16" ht="12.75">
      <c r="C47" s="108"/>
      <c r="D47" s="108"/>
      <c r="E47" s="108"/>
      <c r="F47" s="109"/>
      <c r="G47" s="109"/>
      <c r="H47" s="109"/>
      <c r="N47" s="110"/>
      <c r="O47" s="111"/>
    </row>
    <row r="48" spans="3:16" ht="12.75">
      <c r="C48" s="108"/>
      <c r="D48" s="108"/>
      <c r="E48" s="108"/>
      <c r="F48" s="109"/>
      <c r="G48" s="109"/>
      <c r="H48" s="109"/>
      <c r="N48" s="110"/>
      <c r="O48" s="111"/>
      <c r="P48" s="113"/>
    </row>
    <row r="49" spans="3:16" ht="12.75">
      <c r="C49" s="108"/>
      <c r="D49" s="108"/>
      <c r="E49" s="108"/>
      <c r="F49" s="109"/>
      <c r="G49" s="109"/>
      <c r="H49" s="109"/>
      <c r="N49" s="110"/>
      <c r="O49" s="111"/>
      <c r="P49" s="113"/>
    </row>
    <row r="50" spans="3:16" ht="12.75">
      <c r="C50" s="108"/>
      <c r="D50" s="108"/>
      <c r="E50" s="108"/>
      <c r="F50" s="109"/>
      <c r="G50" s="109"/>
      <c r="H50" s="109"/>
      <c r="N50" s="110"/>
      <c r="O50" s="111"/>
      <c r="P50" s="113"/>
    </row>
    <row r="51" spans="3:16" ht="12.75">
      <c r="C51" s="108"/>
      <c r="D51" s="108"/>
      <c r="E51" s="108"/>
      <c r="F51" s="109"/>
      <c r="G51" s="109"/>
      <c r="H51" s="109"/>
      <c r="N51" s="110"/>
      <c r="O51" s="111"/>
    </row>
    <row r="52" spans="3:16" ht="12.75">
      <c r="C52" s="108"/>
      <c r="D52" s="108"/>
      <c r="E52" s="108"/>
      <c r="F52" s="109"/>
      <c r="G52" s="109"/>
      <c r="H52" s="109"/>
      <c r="N52" s="110"/>
      <c r="O52" s="111"/>
      <c r="P52" s="113"/>
    </row>
    <row r="53" spans="3:16" ht="12.75">
      <c r="C53" s="108"/>
      <c r="D53" s="108"/>
      <c r="E53" s="108"/>
      <c r="F53" s="109"/>
      <c r="G53" s="109"/>
      <c r="H53" s="109"/>
      <c r="N53" s="110"/>
      <c r="O53" s="111"/>
      <c r="P53" s="113"/>
    </row>
    <row r="54" spans="3:16" ht="12.75">
      <c r="C54" s="108"/>
      <c r="D54" s="108"/>
      <c r="E54" s="108"/>
      <c r="F54" s="109"/>
      <c r="G54" s="109"/>
      <c r="H54" s="109"/>
      <c r="N54" s="110"/>
      <c r="O54" s="111"/>
      <c r="P54" s="113"/>
    </row>
  </sheetData>
  <autoFilter ref="A1:X1"/>
  <phoneticPr fontId="6" type="noConversion"/>
  <conditionalFormatting sqref="T2">
    <cfRule type="expression" dxfId="20" priority="26" stopIfTrue="1">
      <formula>"$T2=""Disagree"""</formula>
    </cfRule>
  </conditionalFormatting>
  <conditionalFormatting sqref="T18">
    <cfRule type="expression" dxfId="19" priority="20" stopIfTrue="1">
      <formula>"$T2=""Disagree"""</formula>
    </cfRule>
  </conditionalFormatting>
  <conditionalFormatting sqref="T17">
    <cfRule type="expression" dxfId="18" priority="19" stopIfTrue="1">
      <formula>"$T2=""Disagree"""</formula>
    </cfRule>
  </conditionalFormatting>
  <conditionalFormatting sqref="T16">
    <cfRule type="expression" dxfId="17" priority="18" stopIfTrue="1">
      <formula>"$T2=""Disagree"""</formula>
    </cfRule>
  </conditionalFormatting>
  <conditionalFormatting sqref="T3">
    <cfRule type="expression" dxfId="16" priority="17" stopIfTrue="1">
      <formula>"$T2=""Disagree"""</formula>
    </cfRule>
  </conditionalFormatting>
  <conditionalFormatting sqref="T22">
    <cfRule type="expression" dxfId="15" priority="16" stopIfTrue="1">
      <formula>"$T2=""Disagree"""</formula>
    </cfRule>
  </conditionalFormatting>
  <conditionalFormatting sqref="T8">
    <cfRule type="expression" dxfId="14" priority="15" stopIfTrue="1">
      <formula>"$T2=""Disagree"""</formula>
    </cfRule>
  </conditionalFormatting>
  <conditionalFormatting sqref="T5">
    <cfRule type="expression" dxfId="13" priority="14" stopIfTrue="1">
      <formula>"$T2=""Disagree"""</formula>
    </cfRule>
  </conditionalFormatting>
  <conditionalFormatting sqref="T19">
    <cfRule type="expression" dxfId="12" priority="13" stopIfTrue="1">
      <formula>"$T2=""Disagree"""</formula>
    </cfRule>
  </conditionalFormatting>
  <conditionalFormatting sqref="T20">
    <cfRule type="expression" dxfId="11" priority="12" stopIfTrue="1">
      <formula>"$T2=""Disagree"""</formula>
    </cfRule>
  </conditionalFormatting>
  <conditionalFormatting sqref="T21">
    <cfRule type="expression" dxfId="10" priority="11" stopIfTrue="1">
      <formula>"$T2=""Disagree"""</formula>
    </cfRule>
  </conditionalFormatting>
  <conditionalFormatting sqref="T11">
    <cfRule type="expression" dxfId="9" priority="10" stopIfTrue="1">
      <formula>"$T2=""Disagree"""</formula>
    </cfRule>
  </conditionalFormatting>
  <conditionalFormatting sqref="T6">
    <cfRule type="expression" dxfId="8" priority="9" stopIfTrue="1">
      <formula>"$T2=""Disagree"""</formula>
    </cfRule>
  </conditionalFormatting>
  <conditionalFormatting sqref="T14">
    <cfRule type="expression" dxfId="7" priority="8" stopIfTrue="1">
      <formula>"$T2=""Disagree"""</formula>
    </cfRule>
  </conditionalFormatting>
  <conditionalFormatting sqref="T13">
    <cfRule type="expression" dxfId="6" priority="7" stopIfTrue="1">
      <formula>"$T2=""Disagree"""</formula>
    </cfRule>
  </conditionalFormatting>
  <conditionalFormatting sqref="T15">
    <cfRule type="expression" dxfId="5" priority="6" stopIfTrue="1">
      <formula>"$T2=""Disagree"""</formula>
    </cfRule>
  </conditionalFormatting>
  <conditionalFormatting sqref="T12">
    <cfRule type="expression" dxfId="4" priority="5" stopIfTrue="1">
      <formula>"$T2=""Disagree"""</formula>
    </cfRule>
  </conditionalFormatting>
  <conditionalFormatting sqref="T10">
    <cfRule type="expression" dxfId="3" priority="4" stopIfTrue="1">
      <formula>"$T2=""Disagree"""</formula>
    </cfRule>
  </conditionalFormatting>
  <conditionalFormatting sqref="T9">
    <cfRule type="expression" dxfId="2" priority="3" stopIfTrue="1">
      <formula>"$T2=""Disagree"""</formula>
    </cfRule>
  </conditionalFormatting>
  <conditionalFormatting sqref="T4">
    <cfRule type="expression" dxfId="1" priority="2" stopIfTrue="1">
      <formula>"$T2=""Disagree"""</formula>
    </cfRule>
  </conditionalFormatting>
  <conditionalFormatting sqref="T7">
    <cfRule type="expression" dxfId="0" priority="1" stopIfTrue="1">
      <formula>"$T2=""Disagree"""</formula>
    </cfRule>
  </conditionalFormatting>
  <dataValidations count="7">
    <dataValidation allowBlank="1" showInputMessage="1" showErrorMessage="1" error="Must be &quot;Editor To Do&quot;, &quot;Done&quot;, &quot;Can't Do&quot;" sqref="N13:N54 N471 N329 M1:M54 N1:N11"/>
    <dataValidation allowBlank="1" showInputMessage="1" showErrorMessage="1" error="Comment can only be &quot;Accepted&quot;, &quot;Declined&quot;, or Blank" sqref="J1:J54"/>
    <dataValidation type="list" allowBlank="1" showInputMessage="1" showErrorMessage="1" error="Must be &quot;Editor To Do&quot;, &quot;Done&quot;, &quot;Can't Do&quot;" sqref="L1:L54">
      <formula1>"Editor To Do, Done, Can't Do"</formula1>
    </dataValidation>
    <dataValidation type="whole" allowBlank="1" showErrorMessage="1" error="This must be a comment number between 1 and 2000" sqref="K1:K54">
      <formula1>1</formula1>
      <formula2>2000</formula2>
    </dataValidation>
    <dataValidation type="list" allowBlank="1" showInputMessage="1" showErrorMessage="1" error="Comment can only be &quot;Accepted&quot;, &quot;Declined&quot;, &quot;Counter&quot;, &quot;Deferred&quot;, or Blank" sqref="I1:I54">
      <formula1>"Accepted, Declined, Counter, Deferred"</formula1>
    </dataValidation>
    <dataValidation type="list" allowBlank="1" showInputMessage="1" showErrorMessage="1" sqref="Q1:Q54">
      <formula1>"Telcon1, Telcon2, Telcon3, Telcon4, Telcon5, Telcon6, Telcon7, Telcon8, Telcon9, Telcon10, Telcon11, Telcon12, Telcon13, Telcon14, Telcon15,Denver, Hawaii, Vancouver, Jacksonville, Montreal ,Melbourne, Dallas, Ad-hoc1, Ad-hoc2, Ad-hoc2, Ad-hoc3, Ad-hoc4"</formula1>
    </dataValidation>
    <dataValidation type="list" allowBlank="1" showInputMessage="1" showErrorMessage="1" sqref="T2:T22">
      <formula1>"Agree, Principle, Disagree, Out of Scope, Unresolvable"</formula1>
    </dataValidation>
  </dataValidations>
  <printOptions gridLines="1"/>
  <pageMargins left="0.5" right="0.5" top="1" bottom="1" header="0.5" footer="0.5"/>
  <pageSetup orientation="landscape" blackAndWhite="1" r:id="rId1"/>
  <headerFooter alignWithMargins="0">
    <oddHeader>&amp;LNovembert 2009&amp;C&amp;A&amp;Rdoc.: IEEE 802.11-09/1200r5</oddHeader>
    <oddFooter>&amp;LSubmission&amp;C&amp;P&amp;RLee Armstrong, Armstrong Consulting, Inc.</oddFooter>
  </headerFooter>
</worksheet>
</file>

<file path=xl/worksheets/sheet3.xml><?xml version="1.0" encoding="utf-8"?>
<worksheet xmlns="http://schemas.openxmlformats.org/spreadsheetml/2006/main" xmlns:r="http://schemas.openxmlformats.org/officeDocument/2006/relationships">
  <sheetPr codeName="Sheet5"/>
  <dimension ref="A1:AC95"/>
  <sheetViews>
    <sheetView workbookViewId="0">
      <selection activeCell="K17" sqref="K17"/>
    </sheetView>
  </sheetViews>
  <sheetFormatPr defaultRowHeight="12.75"/>
  <cols>
    <col min="1" max="1" width="26.28515625" customWidth="1"/>
    <col min="2" max="2" width="7.85546875" style="93" customWidth="1"/>
    <col min="3" max="3" width="9.7109375" style="15" customWidth="1"/>
    <col min="4" max="4" width="11.7109375" customWidth="1"/>
    <col min="5" max="5" width="10" customWidth="1"/>
    <col min="6" max="6" width="10.5703125" customWidth="1"/>
    <col min="7" max="7" width="8.5703125" customWidth="1"/>
    <col min="8" max="8" width="11.140625" customWidth="1"/>
    <col min="9" max="9" width="8" customWidth="1"/>
    <col min="10" max="10" width="8.140625" customWidth="1"/>
    <col min="11" max="11" width="11.42578125" customWidth="1"/>
    <col min="12" max="12" width="24.85546875" customWidth="1"/>
    <col min="14" max="14" width="2.85546875" customWidth="1"/>
    <col min="15" max="15" width="30.42578125" customWidth="1"/>
    <col min="16" max="16" width="13.28515625" style="15" customWidth="1"/>
    <col min="17" max="17" width="18" customWidth="1"/>
    <col min="18" max="39" width="5.7109375" customWidth="1"/>
  </cols>
  <sheetData>
    <row r="1" spans="1:29" ht="27.75" customHeight="1">
      <c r="A1" s="18" t="s">
        <v>103</v>
      </c>
      <c r="B1" s="19" t="s">
        <v>105</v>
      </c>
      <c r="C1" s="20" t="s">
        <v>164</v>
      </c>
      <c r="D1" s="20" t="s">
        <v>163</v>
      </c>
      <c r="E1" s="20" t="s">
        <v>170</v>
      </c>
      <c r="F1" s="20" t="s">
        <v>107</v>
      </c>
      <c r="G1" s="20" t="s">
        <v>110</v>
      </c>
      <c r="H1" s="46" t="s">
        <v>80</v>
      </c>
      <c r="I1" s="49" t="s">
        <v>38</v>
      </c>
      <c r="J1" s="50" t="s">
        <v>37</v>
      </c>
      <c r="K1" s="47" t="s">
        <v>71</v>
      </c>
      <c r="L1" s="20" t="s">
        <v>90</v>
      </c>
      <c r="M1" s="20" t="s">
        <v>51</v>
      </c>
      <c r="N1" s="17"/>
      <c r="O1" s="17"/>
      <c r="P1" s="44"/>
      <c r="Q1" s="17"/>
      <c r="R1" s="17"/>
      <c r="S1" s="17"/>
      <c r="T1" s="17"/>
      <c r="U1" s="17"/>
      <c r="V1" s="17"/>
      <c r="W1" s="17"/>
      <c r="X1" s="17"/>
      <c r="Y1" s="17"/>
      <c r="Z1" s="17"/>
      <c r="AA1" s="17"/>
      <c r="AB1" s="17"/>
      <c r="AC1" s="17"/>
    </row>
    <row r="2" spans="1:29">
      <c r="A2" s="72" t="s">
        <v>31</v>
      </c>
      <c r="B2" s="73">
        <f>COUNTIF(Master!$N$2:'Master'!$N$22, "0")</f>
        <v>0</v>
      </c>
      <c r="C2" s="92">
        <f>COUNTIFS(Master!N2:N343,"0",Master!T2:T343,"Agree")</f>
        <v>0</v>
      </c>
      <c r="D2" s="92">
        <f>COUNTIFS(Master!N2:N343,"0",Master!T2:T343,"Disagree")</f>
        <v>0</v>
      </c>
      <c r="E2" s="92">
        <f>COUNTIFS(Master!N2:N343,"0",Master!T2:T343,"Principle")</f>
        <v>0</v>
      </c>
      <c r="F2" s="73"/>
      <c r="G2" s="92">
        <f>COUNTIFS(Master!R2:R343,"0",Master!X2:X343," ")</f>
        <v>0</v>
      </c>
      <c r="H2" s="74">
        <f t="shared" ref="H2:H11" si="0">B2 - (C2+D2+E2)</f>
        <v>0</v>
      </c>
      <c r="I2" s="75"/>
      <c r="J2" s="76"/>
      <c r="K2" s="77" t="s">
        <v>32</v>
      </c>
      <c r="L2" s="78" t="s">
        <v>2</v>
      </c>
      <c r="M2" s="64" t="str">
        <f>IF(B2=H2,"Open","In-Proc")</f>
        <v>Open</v>
      </c>
      <c r="N2" s="17"/>
      <c r="O2" s="17"/>
      <c r="P2" s="44"/>
      <c r="Q2" s="17"/>
      <c r="R2" s="17"/>
      <c r="S2" s="17"/>
      <c r="T2" s="17"/>
      <c r="U2" s="17"/>
      <c r="V2" s="17"/>
      <c r="W2" s="17"/>
      <c r="X2" s="17"/>
      <c r="Y2" s="17"/>
      <c r="Z2" s="17"/>
      <c r="AA2" s="17"/>
      <c r="AB2" s="17"/>
      <c r="AC2" s="17"/>
    </row>
    <row r="3" spans="1:29">
      <c r="A3" s="72" t="s">
        <v>33</v>
      </c>
      <c r="B3" s="73">
        <f>COUNTIF(Master!$N$2:'Master'!$N$22, " ")</f>
        <v>0</v>
      </c>
      <c r="C3" s="92">
        <f>COUNTIFS(Master!N2:N344," ",Master!T2:T344,"Agree")</f>
        <v>0</v>
      </c>
      <c r="D3" s="92">
        <f>COUNTIFS(Master!N2:N344," ",Master!T2:T344,"Disagree")</f>
        <v>0</v>
      </c>
      <c r="E3" s="92">
        <f>COUNTIFS(Master!N2:N344," ",Master!T2:T344,"Principle")</f>
        <v>0</v>
      </c>
      <c r="F3" s="73"/>
      <c r="G3" s="92">
        <f>COUNTIFS(Master!R2:R344," ",Master!X2:X344,"Principle")</f>
        <v>0</v>
      </c>
      <c r="H3" s="74">
        <f t="shared" si="0"/>
        <v>0</v>
      </c>
      <c r="I3" s="75"/>
      <c r="J3" s="76"/>
      <c r="K3" s="77" t="s">
        <v>34</v>
      </c>
      <c r="L3" s="78" t="s">
        <v>109</v>
      </c>
      <c r="M3" s="64" t="str">
        <f t="shared" ref="M3:M16" si="1">IF(B3=H3,"Open","In-Proc")</f>
        <v>Open</v>
      </c>
      <c r="N3" s="17"/>
      <c r="O3" s="17">
        <f>COUNTIF(Master!N2:N4,"J")</f>
        <v>0</v>
      </c>
      <c r="P3" s="44"/>
      <c r="Q3" s="17"/>
      <c r="R3" s="17"/>
      <c r="S3" s="17"/>
      <c r="T3" s="17"/>
      <c r="U3" s="17"/>
      <c r="V3" s="17"/>
      <c r="W3" s="17"/>
      <c r="X3" s="17"/>
      <c r="Y3" s="17"/>
      <c r="Z3" s="17"/>
      <c r="AA3" s="17"/>
      <c r="AB3" s="17"/>
      <c r="AC3" s="17"/>
    </row>
    <row r="4" spans="1:29">
      <c r="A4" s="72" t="s">
        <v>171</v>
      </c>
      <c r="B4" s="73">
        <f>COUNTIF(Master!$N$2:'Master'!$N$22,"")</f>
        <v>2</v>
      </c>
      <c r="C4" s="92">
        <f>COUNTIFS(Master!N2:N345,"",Master!T2:T345,"Agree")</f>
        <v>1</v>
      </c>
      <c r="D4" s="92">
        <f>COUNTIFS(Master!N2:N345,"",Master!T2:T345,"Disagree")</f>
        <v>0</v>
      </c>
      <c r="E4" s="92">
        <f>COUNTIFS(Master!N2:N345,"",Master!T2:T345,"Principle")</f>
        <v>1</v>
      </c>
      <c r="F4" s="73"/>
      <c r="G4" s="92">
        <f>COUNTIFS(Master!R2:R345,"",Master!X2:X345,"Principle")</f>
        <v>0</v>
      </c>
      <c r="H4" s="74">
        <f t="shared" si="0"/>
        <v>0</v>
      </c>
      <c r="I4" s="75"/>
      <c r="J4" s="76"/>
      <c r="K4" s="77" t="s">
        <v>32</v>
      </c>
      <c r="L4" s="78" t="s">
        <v>3</v>
      </c>
      <c r="M4" s="64" t="str">
        <f t="shared" si="1"/>
        <v>In-Proc</v>
      </c>
      <c r="N4" s="17"/>
      <c r="O4" s="17"/>
      <c r="P4" s="44"/>
      <c r="Q4" s="17"/>
      <c r="R4" s="17"/>
      <c r="S4" s="17"/>
      <c r="T4" s="17"/>
      <c r="U4" s="17"/>
      <c r="V4" s="17"/>
      <c r="W4" s="17"/>
      <c r="X4" s="17"/>
      <c r="Y4" s="17"/>
      <c r="Z4" s="17"/>
      <c r="AA4" s="17"/>
      <c r="AB4" s="17"/>
      <c r="AC4" s="17"/>
    </row>
    <row r="5" spans="1:29">
      <c r="A5" s="72" t="s">
        <v>111</v>
      </c>
      <c r="B5" s="91">
        <f>COUNTIF(Master!$N$2:$N$22,"1.*")</f>
        <v>0</v>
      </c>
      <c r="C5" s="92">
        <f>COUNTIFS(Master!N2:N346,"1*",Master!T2:T346,"Agree")</f>
        <v>1</v>
      </c>
      <c r="D5" s="92">
        <f>COUNTIFS(Master!N2:N346,"1*",Master!T2:T346,"Disagree")</f>
        <v>0</v>
      </c>
      <c r="E5" s="92">
        <f>COUNTIFS(Master!N2:N346,"1*",Master!T2:T346,"Principle")</f>
        <v>1</v>
      </c>
      <c r="F5" s="73"/>
      <c r="G5" s="92">
        <f>COUNTIFS(Master!R2:R346,"1*",Master!X2:X346,"Principle")</f>
        <v>0</v>
      </c>
      <c r="H5" s="74">
        <f t="shared" si="0"/>
        <v>-2</v>
      </c>
      <c r="I5" s="75"/>
      <c r="J5" s="76"/>
      <c r="K5" s="77" t="s">
        <v>32</v>
      </c>
      <c r="L5" s="78" t="s">
        <v>112</v>
      </c>
      <c r="M5" s="64" t="str">
        <f t="shared" si="1"/>
        <v>In-Proc</v>
      </c>
      <c r="N5" s="17"/>
      <c r="O5" s="17"/>
      <c r="P5" s="44"/>
      <c r="Q5" s="17"/>
      <c r="R5" s="17"/>
      <c r="S5" s="17"/>
      <c r="T5" s="17"/>
      <c r="U5" s="17"/>
      <c r="V5" s="17"/>
      <c r="W5" s="17"/>
      <c r="X5" s="17"/>
      <c r="Y5" s="17"/>
      <c r="Z5" s="17"/>
      <c r="AA5" s="17"/>
      <c r="AB5" s="17"/>
      <c r="AC5" s="17"/>
    </row>
    <row r="6" spans="1:29">
      <c r="A6" s="72" t="s">
        <v>172</v>
      </c>
      <c r="B6" s="91">
        <f>COUNTIF(Master!$N$2:$N$343,"2")</f>
        <v>0</v>
      </c>
      <c r="C6" s="92">
        <f>COUNTIFS(Master!N2:N347,"2*",Master!T2:T347,"Agree")</f>
        <v>0</v>
      </c>
      <c r="D6" s="92">
        <f>COUNTIFS(Master!N2:N347,"2*",Master!T2:T347,"Disagree")</f>
        <v>0</v>
      </c>
      <c r="E6" s="92">
        <f>COUNTIFS(Master!N2:N347,"2*",Master!T2:T347,"Principle")</f>
        <v>0</v>
      </c>
      <c r="F6" s="73"/>
      <c r="G6" s="92">
        <f>COUNTIFS(Master!R2:R347,"2*",Master!X2:X347,"Principle")</f>
        <v>0</v>
      </c>
      <c r="H6" s="74">
        <f>B6 - (C6+D6+E6)</f>
        <v>0</v>
      </c>
      <c r="I6" s="75"/>
      <c r="J6" s="76"/>
      <c r="K6" s="77" t="s">
        <v>32</v>
      </c>
      <c r="L6" s="78" t="s">
        <v>112</v>
      </c>
      <c r="M6" s="64" t="str">
        <f>IF(B6=H6,"Open","In-Proc")</f>
        <v>Open</v>
      </c>
      <c r="N6" s="17"/>
      <c r="O6" s="17"/>
      <c r="P6" s="44"/>
      <c r="Q6" s="17"/>
      <c r="R6" s="17"/>
      <c r="S6" s="17"/>
      <c r="T6" s="17"/>
      <c r="U6" s="17"/>
      <c r="V6" s="17"/>
      <c r="W6" s="17"/>
      <c r="X6" s="17"/>
      <c r="Y6" s="17"/>
      <c r="Z6" s="17"/>
      <c r="AA6" s="17"/>
      <c r="AB6" s="17"/>
      <c r="AC6" s="17"/>
    </row>
    <row r="7" spans="1:29">
      <c r="A7" s="72" t="s">
        <v>9</v>
      </c>
      <c r="B7" s="91">
        <f>COUNTIF(Master!$N$2:$N$343,"3*")</f>
        <v>0</v>
      </c>
      <c r="C7" s="92">
        <f>COUNTIFS(Master!N2:N348,"3*",Master!T2:T348,"Agree")</f>
        <v>0</v>
      </c>
      <c r="D7" s="92">
        <f>COUNTIFS(Master!N2:N348,"3*",Master!T2:T348,"Disagree")</f>
        <v>0</v>
      </c>
      <c r="E7" s="92">
        <f>COUNTIFS(Master!N2:N348,"3*",Master!T2:T348,"Principle")</f>
        <v>0</v>
      </c>
      <c r="F7" s="73"/>
      <c r="G7" s="92">
        <f>COUNTIFS(Master!R2:R348,"3*",Master!X2:X348,"Principle")</f>
        <v>0</v>
      </c>
      <c r="H7" s="74">
        <f t="shared" si="0"/>
        <v>0</v>
      </c>
      <c r="I7" s="75"/>
      <c r="J7" s="76"/>
      <c r="K7" s="77" t="s">
        <v>32</v>
      </c>
      <c r="L7" s="78" t="s">
        <v>35</v>
      </c>
      <c r="M7" s="64" t="str">
        <f t="shared" si="1"/>
        <v>Open</v>
      </c>
      <c r="N7" s="17"/>
      <c r="O7" s="17"/>
      <c r="P7" s="44"/>
      <c r="Q7" s="17"/>
      <c r="R7" s="17"/>
      <c r="S7" s="17"/>
      <c r="T7" s="17"/>
      <c r="U7" s="17"/>
      <c r="V7" s="17"/>
      <c r="W7" s="17"/>
      <c r="X7" s="17"/>
      <c r="Y7" s="17"/>
      <c r="Z7" s="17"/>
      <c r="AA7" s="17"/>
      <c r="AB7" s="17"/>
      <c r="AC7" s="17"/>
    </row>
    <row r="8" spans="1:29">
      <c r="A8" s="72" t="s">
        <v>10</v>
      </c>
      <c r="B8" s="91">
        <f>COUNTIF(Master!$N$2:$N$343,"4*")</f>
        <v>0</v>
      </c>
      <c r="C8" s="92">
        <f>COUNTIFS(Master!N2:N349,"4*",Master!T2:T349,"Agree")</f>
        <v>0</v>
      </c>
      <c r="D8" s="92">
        <f>COUNTIFS(Master!N2:N349,"4*",Master!T2:T349,"Disagree")</f>
        <v>0</v>
      </c>
      <c r="E8" s="92">
        <f>COUNTIFS(Master!N2:N349,"4*",Master!T2:T349,"Principle")</f>
        <v>0</v>
      </c>
      <c r="F8" s="73"/>
      <c r="G8" s="92">
        <f>COUNTIFS(Master!R2:R349,"4*",Master!X2:X349,"Principle")</f>
        <v>0</v>
      </c>
      <c r="H8" s="74">
        <f t="shared" si="0"/>
        <v>0</v>
      </c>
      <c r="I8" s="75"/>
      <c r="J8" s="76"/>
      <c r="K8" s="77" t="s">
        <v>32</v>
      </c>
      <c r="L8" s="78" t="s">
        <v>27</v>
      </c>
      <c r="M8" s="64" t="str">
        <f t="shared" si="1"/>
        <v>Open</v>
      </c>
      <c r="N8" s="17"/>
      <c r="O8" s="12"/>
      <c r="P8" s="44"/>
      <c r="Q8" s="17"/>
      <c r="R8" s="17"/>
      <c r="S8" s="17"/>
      <c r="T8" s="17"/>
      <c r="U8" s="17"/>
      <c r="V8" s="17"/>
      <c r="W8" s="17"/>
      <c r="X8" s="17"/>
      <c r="Y8" s="17"/>
      <c r="Z8" s="17"/>
      <c r="AA8" s="17"/>
      <c r="AB8" s="17"/>
      <c r="AC8" s="17"/>
    </row>
    <row r="9" spans="1:29">
      <c r="A9" s="72" t="s">
        <v>11</v>
      </c>
      <c r="B9" s="91">
        <f>COUNTIF(Master!$N$2:$N$343,"5*")</f>
        <v>1</v>
      </c>
      <c r="C9" s="92">
        <f>COUNTIFS(Master!N2:N350,"5*",Master!T2:T350,"Agree")</f>
        <v>0</v>
      </c>
      <c r="D9" s="92">
        <f>COUNTIFS(Master!N2:N350,"5*",Master!T2:T350,"Disagree")</f>
        <v>0</v>
      </c>
      <c r="E9" s="92">
        <f>COUNTIFS(Master!N2:N350,"5*",Master!T2:T350,"Principle")</f>
        <v>1</v>
      </c>
      <c r="F9" s="73"/>
      <c r="G9" s="92">
        <f>COUNTIFS(Master!R2:R350,"5*",Master!X2:X350,"Principle")</f>
        <v>0</v>
      </c>
      <c r="H9" s="74">
        <f t="shared" si="0"/>
        <v>0</v>
      </c>
      <c r="I9" s="75"/>
      <c r="J9" s="76"/>
      <c r="K9" s="77" t="s">
        <v>43</v>
      </c>
      <c r="L9" s="78" t="s">
        <v>18</v>
      </c>
      <c r="M9" s="64" t="str">
        <f t="shared" si="1"/>
        <v>In-Proc</v>
      </c>
      <c r="N9" s="17"/>
      <c r="O9" s="17"/>
      <c r="P9" s="44"/>
      <c r="Q9" s="17"/>
      <c r="R9" s="17"/>
      <c r="S9" s="17"/>
      <c r="T9" s="17"/>
      <c r="U9" s="17"/>
      <c r="V9" s="17"/>
      <c r="W9" s="17"/>
      <c r="X9" s="17"/>
      <c r="Y9" s="17"/>
      <c r="Z9" s="17"/>
      <c r="AA9" s="17"/>
      <c r="AB9" s="17"/>
      <c r="AC9" s="17"/>
    </row>
    <row r="10" spans="1:29">
      <c r="A10" s="72" t="s">
        <v>44</v>
      </c>
      <c r="B10" s="91">
        <f>COUNTIF(Master!$N$2:$N$343,"6*")</f>
        <v>0</v>
      </c>
      <c r="C10" s="92">
        <f>COUNTIFS(Master!N2:N351,"6*",Master!T2:T351,"Agree")</f>
        <v>0</v>
      </c>
      <c r="D10" s="92">
        <f>COUNTIFS(Master!N2:N351,"6*",Master!T2:T351,"Disagree")</f>
        <v>0</v>
      </c>
      <c r="E10" s="92">
        <f>COUNTIFS(Master!N2:N351,"6*",Master!T2:T351,"Principle")</f>
        <v>0</v>
      </c>
      <c r="F10" s="73"/>
      <c r="G10" s="92">
        <f>COUNTIFS(Master!R2:R351,"6*",Master!X2:X351,"Principle")</f>
        <v>0</v>
      </c>
      <c r="H10" s="74">
        <f t="shared" si="0"/>
        <v>0</v>
      </c>
      <c r="I10" s="75"/>
      <c r="J10" s="76"/>
      <c r="K10" s="77" t="s">
        <v>8</v>
      </c>
      <c r="L10" s="78" t="s">
        <v>113</v>
      </c>
      <c r="M10" s="64" t="str">
        <f t="shared" si="1"/>
        <v>Open</v>
      </c>
      <c r="N10" s="17"/>
      <c r="O10" s="12"/>
      <c r="P10" s="14"/>
      <c r="Q10" s="43"/>
      <c r="R10" s="17"/>
      <c r="S10" s="17"/>
      <c r="T10" s="17"/>
      <c r="U10" s="17"/>
      <c r="V10" s="17"/>
      <c r="W10" s="17"/>
      <c r="X10" s="17"/>
      <c r="Y10" s="17"/>
      <c r="Z10" s="17"/>
      <c r="AA10" s="17"/>
      <c r="AB10" s="17"/>
      <c r="AC10" s="17"/>
    </row>
    <row r="11" spans="1:29">
      <c r="A11" s="72" t="s">
        <v>12</v>
      </c>
      <c r="B11" s="91">
        <f>COUNTIF(Master!$N$2:$N$343,"7*")</f>
        <v>2</v>
      </c>
      <c r="C11" s="92">
        <f>COUNTIFS(Master!N2:N352,"7*",Master!T2:T352,"Agree")</f>
        <v>1</v>
      </c>
      <c r="D11" s="92">
        <f>COUNTIFS(Master!N2:N352,"7*",Master!T2:T352,"Disagree")</f>
        <v>1</v>
      </c>
      <c r="E11" s="92">
        <f>COUNTIFS(Master!N2:N352,"7*",Master!T2:T352,"Principle")</f>
        <v>0</v>
      </c>
      <c r="F11" s="73"/>
      <c r="G11" s="92">
        <f>COUNTIFS(Master!R2:R352,"7*",Master!X2:X352,"Principle")</f>
        <v>0</v>
      </c>
      <c r="H11" s="74">
        <f t="shared" si="0"/>
        <v>0</v>
      </c>
      <c r="I11" s="75"/>
      <c r="J11" s="76"/>
      <c r="K11" s="77" t="s">
        <v>74</v>
      </c>
      <c r="L11" s="78" t="s">
        <v>19</v>
      </c>
      <c r="M11" s="64" t="str">
        <f t="shared" si="1"/>
        <v>In-Proc</v>
      </c>
      <c r="N11" s="17"/>
      <c r="P11" s="45"/>
      <c r="Q11" s="42"/>
      <c r="R11" s="17"/>
      <c r="S11" s="17"/>
      <c r="T11" s="17"/>
      <c r="U11" s="17"/>
      <c r="V11" s="17"/>
      <c r="W11" s="17"/>
      <c r="X11" s="17"/>
      <c r="Y11" s="17"/>
      <c r="Z11" s="17"/>
      <c r="AA11" s="17"/>
      <c r="AB11" s="17"/>
      <c r="AC11" s="17"/>
    </row>
    <row r="12" spans="1:29">
      <c r="A12" s="72" t="s">
        <v>0</v>
      </c>
      <c r="B12" s="91">
        <f>COUNTIF(Master!$N$2:$N$343,"9*")</f>
        <v>1</v>
      </c>
      <c r="C12" s="92">
        <f>COUNTIFS(Master!N2:N353,"9*",Master!T2:T353,"Agree")</f>
        <v>0</v>
      </c>
      <c r="D12" s="92">
        <f>COUNTIFS(Master!N2:N353,"9*",Master!T2:T353,"Disagree")</f>
        <v>0</v>
      </c>
      <c r="E12" s="92">
        <f>COUNTIFS(Master!N2:N353,"9*",Master!T2:T353,"Principle")</f>
        <v>1</v>
      </c>
      <c r="F12" s="73"/>
      <c r="G12" s="92">
        <f>COUNTIFS(Master!R2:R353,"9*",Master!X2:X353,"Principle")</f>
        <v>0</v>
      </c>
      <c r="H12" s="74">
        <f>B12 - (C12+D12+E12)</f>
        <v>0</v>
      </c>
      <c r="I12" s="75"/>
      <c r="J12" s="76"/>
      <c r="K12" s="77" t="s">
        <v>74</v>
      </c>
      <c r="L12" s="78" t="s">
        <v>1</v>
      </c>
      <c r="M12" s="64" t="s">
        <v>50</v>
      </c>
      <c r="N12" s="17"/>
      <c r="P12" s="45"/>
      <c r="Q12" s="42"/>
      <c r="R12" s="17"/>
      <c r="S12" s="17"/>
      <c r="T12" s="17"/>
      <c r="U12" s="17"/>
      <c r="V12" s="17"/>
      <c r="W12" s="17"/>
      <c r="X12" s="17"/>
      <c r="Y12" s="17"/>
      <c r="Z12" s="17"/>
      <c r="AA12" s="17"/>
      <c r="AB12" s="17"/>
      <c r="AC12" s="17"/>
    </row>
    <row r="13" spans="1:29">
      <c r="A13" s="80" t="s">
        <v>13</v>
      </c>
      <c r="B13" s="91">
        <f>COUNTIFS(Master!$N$2:'Master'!$N$22,"10*")</f>
        <v>1</v>
      </c>
      <c r="C13" s="92">
        <f>COUNTIFS(Master!N2:N354,"10*",Master!T2:T354,"Agree")</f>
        <v>1</v>
      </c>
      <c r="D13" s="92">
        <f>COUNTIFS(Master!N2:N354,"10*",Master!T2:T354,"Disagree")</f>
        <v>0</v>
      </c>
      <c r="E13" s="92">
        <f>COUNTIFS(Master!N2:N354,"10*",Master!T2:T354,"Principle")</f>
        <v>0</v>
      </c>
      <c r="F13" s="73"/>
      <c r="G13" s="92">
        <f>COUNTIFS(Master!R2:R354,"10*",Master!X2:X354,"Principle")</f>
        <v>0</v>
      </c>
      <c r="H13" s="74">
        <f t="shared" ref="H13:H21" si="2">B13 - (C13+D13+E13)</f>
        <v>0</v>
      </c>
      <c r="I13" s="75"/>
      <c r="J13" s="76"/>
      <c r="K13" s="77" t="s">
        <v>74</v>
      </c>
      <c r="L13" s="78" t="s">
        <v>20</v>
      </c>
      <c r="M13" s="64" t="str">
        <f t="shared" si="1"/>
        <v>In-Proc</v>
      </c>
      <c r="N13" s="17"/>
      <c r="P13" s="45"/>
      <c r="Q13" s="42"/>
      <c r="R13" s="17"/>
      <c r="S13" s="17"/>
      <c r="T13" s="17"/>
      <c r="U13" s="17"/>
      <c r="V13" s="17"/>
      <c r="W13" s="17"/>
      <c r="X13" s="17"/>
      <c r="Y13" s="17"/>
      <c r="Z13" s="17"/>
      <c r="AA13" s="17"/>
      <c r="AB13" s="17"/>
      <c r="AC13" s="17"/>
    </row>
    <row r="14" spans="1:29">
      <c r="A14" s="72" t="s">
        <v>14</v>
      </c>
      <c r="B14" s="91">
        <f>COUNTIF(Master!$N$2:$N$343,"11*")</f>
        <v>0</v>
      </c>
      <c r="C14" s="92">
        <f>COUNTIFS(Master!N2:N355,"11*",Master!T2:T355,"Agree")</f>
        <v>0</v>
      </c>
      <c r="D14" s="92">
        <f>COUNTIFS(Master!N2:N355,"11*",Master!T2:T355,"Disagree")</f>
        <v>0</v>
      </c>
      <c r="E14" s="92">
        <f>COUNTIFS(Master!N2:N355,"11*",Master!T2:T355,"Principle")</f>
        <v>0</v>
      </c>
      <c r="F14" s="73"/>
      <c r="G14" s="92">
        <f>COUNTIFS(Master!R2:R355,"11*",Master!X2:X355,"Principle")</f>
        <v>0</v>
      </c>
      <c r="H14" s="74">
        <f t="shared" si="2"/>
        <v>0</v>
      </c>
      <c r="I14" s="75"/>
      <c r="J14" s="76"/>
      <c r="K14" s="77" t="s">
        <v>74</v>
      </c>
      <c r="L14" s="78" t="s">
        <v>21</v>
      </c>
      <c r="M14" s="64" t="str">
        <f t="shared" si="1"/>
        <v>Open</v>
      </c>
      <c r="N14" s="17"/>
      <c r="P14" s="45"/>
      <c r="Q14" s="42"/>
      <c r="R14" s="17"/>
      <c r="S14" s="17"/>
      <c r="T14" s="17"/>
      <c r="U14" s="17"/>
      <c r="V14" s="17"/>
      <c r="W14" s="17"/>
      <c r="X14" s="17"/>
      <c r="Y14" s="17"/>
      <c r="Z14" s="17"/>
      <c r="AA14" s="17"/>
      <c r="AB14" s="17"/>
      <c r="AC14" s="17"/>
    </row>
    <row r="15" spans="1:29">
      <c r="A15" s="72" t="s">
        <v>15</v>
      </c>
      <c r="B15" s="91">
        <f>COUNTIF(Master!$N$2:$N$343,"17*")</f>
        <v>1</v>
      </c>
      <c r="C15" s="92">
        <f>COUNTIFS(Master!N2:N356,"17*",Master!T2:T356,"Agree")</f>
        <v>0</v>
      </c>
      <c r="D15" s="92">
        <f>COUNTIFS(Master!N2:N356,"17*",Master!T2:T356,"Disagree")</f>
        <v>0</v>
      </c>
      <c r="E15" s="92">
        <f>COUNTIFS(Master!N2:N356,"17*",Master!T2:T356,"Principle")</f>
        <v>1</v>
      </c>
      <c r="F15" s="73"/>
      <c r="G15" s="92">
        <f>COUNTIFS(Master!R2:R356,"17*",Master!X2:X356,"Principle")</f>
        <v>0</v>
      </c>
      <c r="H15" s="74">
        <f t="shared" si="2"/>
        <v>0</v>
      </c>
      <c r="I15" s="75"/>
      <c r="J15" s="76"/>
      <c r="K15" s="77" t="s">
        <v>4</v>
      </c>
      <c r="L15" s="78" t="s">
        <v>22</v>
      </c>
      <c r="M15" s="64" t="str">
        <f t="shared" si="1"/>
        <v>In-Proc</v>
      </c>
      <c r="N15" s="17"/>
      <c r="P15" s="45"/>
      <c r="Q15" s="42"/>
      <c r="R15" s="17"/>
      <c r="S15" s="17"/>
      <c r="T15" s="17"/>
      <c r="U15" s="17"/>
      <c r="V15" s="17"/>
      <c r="W15" s="17"/>
      <c r="X15" s="17"/>
      <c r="Y15" s="17"/>
      <c r="Z15" s="17"/>
      <c r="AA15" s="17"/>
      <c r="AB15" s="17"/>
      <c r="AC15" s="17"/>
    </row>
    <row r="16" spans="1:29">
      <c r="A16" s="72" t="s">
        <v>6</v>
      </c>
      <c r="B16" s="91">
        <f>COUNTIF(Master!$N$2:$N$343,"A*")</f>
        <v>5</v>
      </c>
      <c r="C16" s="92">
        <f>COUNTIFS(Master!N2:N357,"A*",Master!T2:T357,"Agree")</f>
        <v>4</v>
      </c>
      <c r="D16" s="92">
        <f>COUNTIFS(Master!N2:N357,"A*",Master!T2:T357,"Disagree")</f>
        <v>1</v>
      </c>
      <c r="E16" s="92">
        <f>COUNTIFS(Master!N2:N357,"A*",Master!T2:T357,"Principle")</f>
        <v>0</v>
      </c>
      <c r="F16" s="73"/>
      <c r="G16" s="92">
        <f>COUNTIFS(Master!R2:R357,"A*",Master!X2:X357,"Principle")</f>
        <v>0</v>
      </c>
      <c r="H16" s="74">
        <f t="shared" si="2"/>
        <v>0</v>
      </c>
      <c r="I16" s="75"/>
      <c r="J16" s="76"/>
      <c r="K16" s="77" t="s">
        <v>5</v>
      </c>
      <c r="L16" s="78" t="s">
        <v>23</v>
      </c>
      <c r="M16" s="64" t="str">
        <f t="shared" si="1"/>
        <v>In-Proc</v>
      </c>
      <c r="N16" s="17"/>
      <c r="Q16" s="17"/>
      <c r="R16" s="17"/>
      <c r="S16" s="17"/>
      <c r="T16" s="17"/>
      <c r="U16" s="17"/>
      <c r="V16" s="17"/>
      <c r="W16" s="17"/>
      <c r="X16" s="17"/>
      <c r="Y16" s="17"/>
      <c r="Z16" s="17"/>
      <c r="AA16" s="17"/>
      <c r="AB16" s="17"/>
      <c r="AC16" s="17"/>
    </row>
    <row r="17" spans="1:29">
      <c r="A17" s="72" t="s">
        <v>7</v>
      </c>
      <c r="B17" s="91">
        <f>COUNTIF(Master!$N$2:$N$343,"D*")</f>
        <v>0</v>
      </c>
      <c r="C17" s="92">
        <f>COUNTIFS(Master!N2:N358,"D*",Master!T2:T358,"Agree")</f>
        <v>0</v>
      </c>
      <c r="D17" s="92">
        <f>COUNTIFS(Master!N2:N358,"D*",Master!T2:T358,"Disagree")</f>
        <v>0</v>
      </c>
      <c r="E17" s="92">
        <f>COUNTIFS(Master!N2:N358,"D*",Master!T2:T358,"Principle")</f>
        <v>0</v>
      </c>
      <c r="F17" s="73"/>
      <c r="G17" s="92">
        <f>COUNTIFS(Master!R2:R358,"D*",Master!X2:X358,"Principle")</f>
        <v>0</v>
      </c>
      <c r="H17" s="74">
        <f t="shared" si="2"/>
        <v>0</v>
      </c>
      <c r="I17" s="75"/>
      <c r="J17" s="76"/>
      <c r="K17" s="77" t="s">
        <v>74</v>
      </c>
      <c r="L17" s="78" t="s">
        <v>24</v>
      </c>
      <c r="M17" s="64" t="str">
        <f>IF(B17=H17,"Open","In-Proc")</f>
        <v>Open</v>
      </c>
      <c r="N17" s="17"/>
      <c r="P17" s="45"/>
      <c r="Q17" s="42"/>
      <c r="R17" s="17"/>
      <c r="S17" s="17"/>
      <c r="T17" s="17"/>
      <c r="U17" s="17"/>
      <c r="V17" s="17"/>
      <c r="W17" s="17"/>
      <c r="X17" s="17"/>
      <c r="Y17" s="17"/>
      <c r="Z17" s="17"/>
      <c r="AA17" s="17"/>
      <c r="AB17" s="17"/>
      <c r="AC17" s="17"/>
    </row>
    <row r="18" spans="1:29">
      <c r="A18" s="72" t="s">
        <v>16</v>
      </c>
      <c r="B18" s="91">
        <f>COUNTIF(Master!$N$2:$N$343,"I*")</f>
        <v>3</v>
      </c>
      <c r="C18" s="92">
        <f>COUNTIFS(Master!N2:N359,"I*",Master!T2:T359,"Agree")</f>
        <v>1</v>
      </c>
      <c r="D18" s="92">
        <f>COUNTIFS(Master!N2:N359,"I*",Master!T2:T359,"Disagree")</f>
        <v>0</v>
      </c>
      <c r="E18" s="92">
        <f>COUNTIFS(Master!N2:N359,"I*",Master!T2:T359,"Principle")</f>
        <v>2</v>
      </c>
      <c r="F18" s="73"/>
      <c r="G18" s="92">
        <f>COUNTIFS(Master!R2:R359,"I*",Master!X2:X359,"Principle")</f>
        <v>0</v>
      </c>
      <c r="H18" s="74">
        <f t="shared" si="2"/>
        <v>0</v>
      </c>
      <c r="I18" s="75"/>
      <c r="J18" s="76"/>
      <c r="K18" s="77" t="s">
        <v>29</v>
      </c>
      <c r="L18" s="78" t="s">
        <v>25</v>
      </c>
      <c r="M18" s="64" t="str">
        <f>IF(B18=H18,"Open","In-Proc")</f>
        <v>In-Proc</v>
      </c>
      <c r="N18" s="17"/>
      <c r="P18" s="45"/>
      <c r="Q18" s="42"/>
      <c r="R18" s="17"/>
      <c r="S18" s="17"/>
      <c r="T18" s="17"/>
      <c r="U18" s="17"/>
      <c r="V18" s="17"/>
      <c r="W18" s="17"/>
      <c r="X18" s="17"/>
      <c r="Y18" s="17"/>
      <c r="Z18" s="17"/>
      <c r="AA18" s="17"/>
      <c r="AB18" s="17"/>
      <c r="AC18" s="17"/>
    </row>
    <row r="19" spans="1:29">
      <c r="A19" s="72" t="s">
        <v>17</v>
      </c>
      <c r="B19" s="91">
        <f>COUNTIF(Master!$N$2:$N$343,"J*")</f>
        <v>2</v>
      </c>
      <c r="C19" s="92">
        <f>COUNTIFS(Master!N2:N360,"J*",Master!T2:T360,"Agree")</f>
        <v>1</v>
      </c>
      <c r="D19" s="92">
        <f>COUNTIFS(Master!N2:N360,"J*",Master!T2:T360,"Disagree")</f>
        <v>0</v>
      </c>
      <c r="E19" s="92">
        <f>COUNTIFS(Master!N2:N360,"J*",Master!T2:T360,"Principle")</f>
        <v>1</v>
      </c>
      <c r="F19" s="73"/>
      <c r="G19" s="92">
        <f>COUNTIFS(Master!R2:R360,"J*",Master!X2:X360,"Principle")</f>
        <v>0</v>
      </c>
      <c r="H19" s="74">
        <f t="shared" si="2"/>
        <v>0</v>
      </c>
      <c r="I19" s="75"/>
      <c r="J19" s="76"/>
      <c r="K19" s="77" t="s">
        <v>28</v>
      </c>
      <c r="L19" s="78" t="s">
        <v>26</v>
      </c>
      <c r="M19" s="64" t="str">
        <f>IF(B19=H19,"Open","In-Proc")</f>
        <v>In-Proc</v>
      </c>
      <c r="N19" s="17"/>
      <c r="P19" s="45"/>
      <c r="Q19" s="42"/>
      <c r="R19" s="17"/>
      <c r="S19" s="17"/>
      <c r="T19" s="17"/>
      <c r="U19" s="17"/>
      <c r="V19" s="17"/>
      <c r="W19" s="17"/>
      <c r="X19" s="17"/>
      <c r="Y19" s="17"/>
      <c r="Z19" s="17"/>
      <c r="AA19" s="17"/>
      <c r="AB19" s="17"/>
      <c r="AC19" s="17"/>
    </row>
    <row r="20" spans="1:29">
      <c r="A20" s="72" t="s">
        <v>110</v>
      </c>
      <c r="B20" s="73"/>
      <c r="C20" s="92"/>
      <c r="D20" s="92"/>
      <c r="E20" s="92"/>
      <c r="F20" s="73"/>
      <c r="G20" s="92"/>
      <c r="H20" s="74">
        <f t="shared" si="2"/>
        <v>0</v>
      </c>
      <c r="I20" s="75"/>
      <c r="J20" s="76"/>
      <c r="K20" s="77" t="s">
        <v>110</v>
      </c>
      <c r="L20" s="78" t="s">
        <v>110</v>
      </c>
      <c r="M20" s="64" t="str">
        <f>IF(B20=H20,"Open","In-Proc")</f>
        <v>Open</v>
      </c>
      <c r="N20" s="17"/>
      <c r="Q20" s="17"/>
      <c r="R20" s="17"/>
      <c r="S20" s="17"/>
      <c r="T20" s="17"/>
      <c r="U20" s="17"/>
      <c r="V20" s="17"/>
      <c r="W20" s="17"/>
      <c r="X20" s="17"/>
      <c r="Y20" s="17"/>
      <c r="Z20" s="17"/>
      <c r="AA20" s="17"/>
      <c r="AB20" s="17"/>
      <c r="AC20" s="17"/>
    </row>
    <row r="21" spans="1:29">
      <c r="A21" s="72" t="s">
        <v>104</v>
      </c>
      <c r="B21" s="73"/>
      <c r="C21" s="92"/>
      <c r="D21" s="92"/>
      <c r="E21" s="73"/>
      <c r="F21" s="73"/>
      <c r="G21" s="73"/>
      <c r="H21" s="74">
        <f t="shared" si="2"/>
        <v>0</v>
      </c>
      <c r="I21" s="75"/>
      <c r="J21" s="76"/>
      <c r="K21" s="77" t="s">
        <v>34</v>
      </c>
      <c r="L21" s="78" t="s">
        <v>41</v>
      </c>
      <c r="M21" s="64" t="str">
        <f>IF(B21=H21,"Open","In-Proc")</f>
        <v>Open</v>
      </c>
      <c r="N21" s="17"/>
      <c r="P21" s="45"/>
      <c r="Q21" s="42"/>
      <c r="R21" s="17"/>
      <c r="S21" s="17"/>
      <c r="T21" s="17"/>
      <c r="U21" s="17"/>
      <c r="V21" s="17"/>
      <c r="W21" s="17"/>
      <c r="X21" s="17"/>
      <c r="Y21" s="17"/>
      <c r="Z21" s="17"/>
      <c r="AA21" s="17"/>
      <c r="AB21" s="17"/>
      <c r="AC21" s="17"/>
    </row>
    <row r="22" spans="1:29">
      <c r="A22" s="24" t="s">
        <v>106</v>
      </c>
      <c r="B22" s="25">
        <f t="shared" ref="B22:H22" si="3">SUM(B2:B21)</f>
        <v>18</v>
      </c>
      <c r="C22" s="25">
        <f t="shared" si="3"/>
        <v>10</v>
      </c>
      <c r="D22" s="25">
        <f t="shared" si="3"/>
        <v>2</v>
      </c>
      <c r="E22" s="25">
        <f t="shared" si="3"/>
        <v>8</v>
      </c>
      <c r="F22" s="25"/>
      <c r="G22" s="25">
        <f t="shared" si="3"/>
        <v>0</v>
      </c>
      <c r="H22" s="51">
        <f t="shared" si="3"/>
        <v>-2</v>
      </c>
      <c r="I22" s="56"/>
      <c r="J22" s="51"/>
      <c r="K22" s="48"/>
      <c r="L22" s="21"/>
      <c r="M22" s="21"/>
    </row>
    <row r="23" spans="1:29">
      <c r="B23" s="100" t="s">
        <v>174</v>
      </c>
    </row>
    <row r="24" spans="1:29">
      <c r="A24" s="18" t="s">
        <v>82</v>
      </c>
      <c r="B24" s="19" t="s">
        <v>83</v>
      </c>
      <c r="F24" s="40" t="s">
        <v>100</v>
      </c>
      <c r="G24" s="19" t="s">
        <v>105</v>
      </c>
      <c r="H24" s="19" t="s">
        <v>50</v>
      </c>
      <c r="J24" s="18" t="s">
        <v>46</v>
      </c>
      <c r="K24" s="62" t="s">
        <v>47</v>
      </c>
      <c r="L24" s="63"/>
      <c r="P24"/>
    </row>
    <row r="25" spans="1:29">
      <c r="A25" s="23" t="s">
        <v>105</v>
      </c>
      <c r="B25" s="92">
        <f>COUNTA(Master!$L$2:'Master'!$L$22)</f>
        <v>21</v>
      </c>
      <c r="C25" s="16"/>
      <c r="F25" s="23" t="s">
        <v>32</v>
      </c>
      <c r="G25" s="22">
        <f t="shared" ref="G25:G37" si="4">SUMIF(K$2:K$21,F25,B$2:B$21)</f>
        <v>2</v>
      </c>
      <c r="H25" s="22">
        <f t="shared" ref="H25:H37" si="5">SUMIF(K$2:K$21,F25,H$2:H$21)</f>
        <v>-2</v>
      </c>
      <c r="J25" s="52">
        <v>0</v>
      </c>
      <c r="K25" s="60" t="s">
        <v>49</v>
      </c>
      <c r="L25" s="61"/>
      <c r="P25"/>
    </row>
    <row r="26" spans="1:29" ht="13.5" thickBot="1">
      <c r="A26" s="23" t="s">
        <v>104</v>
      </c>
      <c r="B26" s="92">
        <f>COUNTIF(Master!$L$2:'Master'!$L$22,"Editorial")</f>
        <v>6</v>
      </c>
      <c r="F26" s="23" t="s">
        <v>34</v>
      </c>
      <c r="G26" s="22">
        <f t="shared" si="4"/>
        <v>0</v>
      </c>
      <c r="H26" s="22">
        <f t="shared" si="5"/>
        <v>0</v>
      </c>
      <c r="J26" s="57">
        <v>0</v>
      </c>
      <c r="K26" s="60" t="s">
        <v>48</v>
      </c>
      <c r="L26" s="61"/>
      <c r="P26"/>
    </row>
    <row r="27" spans="1:29">
      <c r="A27" s="23" t="s">
        <v>108</v>
      </c>
      <c r="B27" s="92">
        <f>COUNTIF(Master!$L$2:'Master'!$L$224,"General")</f>
        <v>4</v>
      </c>
      <c r="D27" s="83" t="s">
        <v>89</v>
      </c>
      <c r="F27" s="23" t="s">
        <v>43</v>
      </c>
      <c r="G27" s="22">
        <f t="shared" si="4"/>
        <v>1</v>
      </c>
      <c r="H27" s="22">
        <f t="shared" si="5"/>
        <v>0</v>
      </c>
      <c r="J27" s="58">
        <v>0</v>
      </c>
      <c r="K27" s="60" t="s">
        <v>76</v>
      </c>
      <c r="L27" s="61"/>
      <c r="P27"/>
    </row>
    <row r="28" spans="1:29">
      <c r="A28" s="23" t="s">
        <v>81</v>
      </c>
      <c r="B28" s="92">
        <f>COUNTIF(Master!$L$2:'Master'!$L$22,"Technical")</f>
        <v>11</v>
      </c>
      <c r="D28" s="84" t="s">
        <v>88</v>
      </c>
      <c r="F28" s="23" t="s">
        <v>8</v>
      </c>
      <c r="G28" s="22">
        <f t="shared" si="4"/>
        <v>0</v>
      </c>
      <c r="H28" s="22">
        <f t="shared" si="5"/>
        <v>0</v>
      </c>
      <c r="J28" s="59">
        <v>0</v>
      </c>
      <c r="K28" s="60" t="s">
        <v>75</v>
      </c>
      <c r="L28" s="61"/>
      <c r="P28"/>
    </row>
    <row r="29" spans="1:29" ht="13.5" thickBot="1">
      <c r="A29" s="23" t="s">
        <v>114</v>
      </c>
      <c r="B29" s="92">
        <f>COUNTIFS(Master!$L$2:'Master'!$L$22,"Technical",Master!$L$2:'Master'!$L$22, "Yes")</f>
        <v>0</v>
      </c>
      <c r="D29" s="85">
        <f>(B22-H22)/B22</f>
        <v>1.1111111111111112</v>
      </c>
      <c r="F29" s="23" t="s">
        <v>74</v>
      </c>
      <c r="G29" s="22">
        <f t="shared" si="4"/>
        <v>4</v>
      </c>
      <c r="H29" s="22">
        <f t="shared" si="5"/>
        <v>0</v>
      </c>
      <c r="J29" s="65">
        <v>0</v>
      </c>
      <c r="K29" s="66" t="s">
        <v>52</v>
      </c>
      <c r="L29" s="67"/>
      <c r="P29"/>
    </row>
    <row r="30" spans="1:29" ht="13.5" thickBot="1">
      <c r="A30" s="23"/>
      <c r="B30" s="92"/>
      <c r="F30" s="23" t="s">
        <v>110</v>
      </c>
      <c r="G30" s="22">
        <f t="shared" si="4"/>
        <v>0</v>
      </c>
      <c r="H30" s="22">
        <f t="shared" si="5"/>
        <v>0</v>
      </c>
      <c r="J30" s="22">
        <v>0</v>
      </c>
      <c r="K30" s="60" t="s">
        <v>53</v>
      </c>
      <c r="L30" s="61"/>
      <c r="P30"/>
    </row>
    <row r="31" spans="1:29">
      <c r="A31" s="23"/>
      <c r="B31" s="92"/>
      <c r="D31" s="83" t="s">
        <v>39</v>
      </c>
      <c r="F31" s="23" t="s">
        <v>30</v>
      </c>
      <c r="G31" s="22">
        <f t="shared" si="4"/>
        <v>0</v>
      </c>
      <c r="H31" s="22">
        <f t="shared" si="5"/>
        <v>0</v>
      </c>
      <c r="J31" s="25">
        <f>SUM(J25:J30)</f>
        <v>0</v>
      </c>
      <c r="K31" s="60" t="s">
        <v>105</v>
      </c>
      <c r="L31" s="61"/>
      <c r="P31"/>
    </row>
    <row r="32" spans="1:29">
      <c r="A32" s="23"/>
      <c r="B32" s="92"/>
      <c r="D32" s="84" t="s">
        <v>40</v>
      </c>
      <c r="F32" s="23" t="s">
        <v>4</v>
      </c>
      <c r="G32" s="22">
        <f t="shared" si="4"/>
        <v>1</v>
      </c>
      <c r="H32" s="22">
        <f t="shared" si="5"/>
        <v>0</v>
      </c>
      <c r="K32" s="15"/>
      <c r="P32"/>
    </row>
    <row r="33" spans="1:16">
      <c r="A33" s="23"/>
      <c r="B33" s="92"/>
      <c r="D33" s="86" t="e">
        <f>(SUMPRODUCT((Master!#REF!:Master!#REF!&lt;&gt;"")*(Master!#REF!:Master!#REF!=F$1))) + (SUMPRODUCT((Master!#REF!:Master!#REF!&lt;&gt;"")*(Master!#REF!:Master!#REF!="")))</f>
        <v>#REF!</v>
      </c>
      <c r="F33" s="23" t="s">
        <v>5</v>
      </c>
      <c r="G33" s="22">
        <f t="shared" si="4"/>
        <v>5</v>
      </c>
      <c r="H33" s="22">
        <f t="shared" si="5"/>
        <v>0</v>
      </c>
      <c r="K33" s="15"/>
      <c r="P33"/>
    </row>
    <row r="34" spans="1:16" ht="13.5" thickBot="1">
      <c r="A34" s="23"/>
      <c r="B34" s="92"/>
      <c r="D34" s="87" t="e">
        <f>D33/H22</f>
        <v>#REF!</v>
      </c>
      <c r="F34" s="23" t="s">
        <v>29</v>
      </c>
      <c r="G34" s="22">
        <f t="shared" si="4"/>
        <v>3</v>
      </c>
      <c r="H34" s="22">
        <f t="shared" si="5"/>
        <v>0</v>
      </c>
      <c r="K34" s="15"/>
      <c r="P34"/>
    </row>
    <row r="35" spans="1:16">
      <c r="A35" s="23"/>
      <c r="B35" s="92"/>
      <c r="C35" s="39"/>
      <c r="D35" s="15"/>
      <c r="F35" s="23" t="s">
        <v>28</v>
      </c>
      <c r="G35" s="22">
        <f t="shared" si="4"/>
        <v>2</v>
      </c>
      <c r="H35" s="22">
        <f t="shared" si="5"/>
        <v>0</v>
      </c>
      <c r="K35" s="15"/>
      <c r="P35"/>
    </row>
    <row r="36" spans="1:16">
      <c r="A36" s="23"/>
      <c r="B36" s="92"/>
      <c r="C36" s="39"/>
      <c r="D36" s="15"/>
      <c r="F36" s="23" t="s">
        <v>110</v>
      </c>
      <c r="G36" s="22">
        <f t="shared" si="4"/>
        <v>0</v>
      </c>
      <c r="H36" s="22">
        <f t="shared" si="5"/>
        <v>0</v>
      </c>
      <c r="K36" s="15"/>
      <c r="P36"/>
    </row>
    <row r="37" spans="1:16">
      <c r="A37" s="23" t="s">
        <v>79</v>
      </c>
      <c r="B37" s="92">
        <f>COUNTIF(Master!$L$2:'Master'!$L$22,"")</f>
        <v>0</v>
      </c>
      <c r="C37" s="39"/>
      <c r="D37" s="15"/>
      <c r="F37" s="23" t="s">
        <v>30</v>
      </c>
      <c r="G37" s="22">
        <f t="shared" si="4"/>
        <v>0</v>
      </c>
      <c r="H37" s="22">
        <f t="shared" si="5"/>
        <v>0</v>
      </c>
      <c r="K37" s="15"/>
      <c r="P37"/>
    </row>
    <row r="38" spans="1:16">
      <c r="F38" s="41" t="s">
        <v>106</v>
      </c>
      <c r="G38" s="25">
        <f>SUM(G25:G37)</f>
        <v>18</v>
      </c>
      <c r="H38" s="25">
        <f>SUM(H25:H37)</f>
        <v>-2</v>
      </c>
      <c r="P38"/>
    </row>
    <row r="70" spans="1:6">
      <c r="A70" s="27" t="s">
        <v>42</v>
      </c>
      <c r="B70" s="94"/>
      <c r="C70" s="28"/>
      <c r="D70" s="54"/>
      <c r="E70" s="54"/>
      <c r="F70" s="29"/>
    </row>
    <row r="71" spans="1:6">
      <c r="A71" s="30" t="s">
        <v>45</v>
      </c>
      <c r="B71" s="95"/>
      <c r="C71" s="31"/>
      <c r="D71" s="53"/>
      <c r="E71" s="53"/>
      <c r="F71" s="32"/>
    </row>
    <row r="72" spans="1:6">
      <c r="A72" s="33" t="s">
        <v>68</v>
      </c>
      <c r="B72" s="95"/>
      <c r="C72" s="31"/>
      <c r="D72" s="53"/>
      <c r="E72" s="53"/>
      <c r="F72" s="32"/>
    </row>
    <row r="73" spans="1:6">
      <c r="A73" s="30" t="s">
        <v>65</v>
      </c>
      <c r="B73" s="95"/>
      <c r="C73" s="31"/>
      <c r="D73" s="53"/>
      <c r="E73" s="53"/>
      <c r="F73" s="32"/>
    </row>
    <row r="74" spans="1:6">
      <c r="A74" s="34" t="s">
        <v>86</v>
      </c>
      <c r="B74" s="95"/>
      <c r="C74" s="31"/>
      <c r="D74" s="53"/>
      <c r="E74" s="53"/>
      <c r="F74" s="32"/>
    </row>
    <row r="75" spans="1:6">
      <c r="A75" s="34" t="s">
        <v>87</v>
      </c>
      <c r="B75" s="95"/>
      <c r="C75" s="31"/>
      <c r="D75" s="53"/>
      <c r="E75" s="53"/>
      <c r="F75" s="32"/>
    </row>
    <row r="76" spans="1:6">
      <c r="A76" s="35" t="s">
        <v>69</v>
      </c>
      <c r="B76" s="95"/>
      <c r="C76" s="31"/>
      <c r="D76" s="53"/>
      <c r="E76" s="53"/>
      <c r="F76" s="32"/>
    </row>
    <row r="77" spans="1:6">
      <c r="A77" s="30" t="s">
        <v>58</v>
      </c>
      <c r="B77" s="95"/>
      <c r="C77" s="31"/>
      <c r="D77" s="53"/>
      <c r="E77" s="53"/>
      <c r="F77" s="32"/>
    </row>
    <row r="78" spans="1:6">
      <c r="A78" s="34" t="s">
        <v>67</v>
      </c>
      <c r="B78" s="95"/>
      <c r="C78" s="31"/>
      <c r="D78" s="53"/>
      <c r="E78" s="53"/>
      <c r="F78" s="32"/>
    </row>
    <row r="79" spans="1:6">
      <c r="A79" s="34" t="s">
        <v>63</v>
      </c>
      <c r="B79" s="95"/>
      <c r="C79" s="31"/>
      <c r="D79" s="53"/>
      <c r="E79" s="53"/>
      <c r="F79" s="32"/>
    </row>
    <row r="80" spans="1:6">
      <c r="A80" s="34" t="s">
        <v>64</v>
      </c>
      <c r="B80" s="95"/>
      <c r="C80" s="31"/>
      <c r="D80" s="53"/>
      <c r="E80" s="53"/>
      <c r="F80" s="32"/>
    </row>
    <row r="81" spans="1:6">
      <c r="A81" s="36" t="s">
        <v>66</v>
      </c>
      <c r="B81" s="96"/>
      <c r="C81" s="37"/>
      <c r="D81" s="55"/>
      <c r="E81" s="55"/>
      <c r="F81" s="38"/>
    </row>
    <row r="82" spans="1:6">
      <c r="A82" s="13"/>
    </row>
    <row r="83" spans="1:6">
      <c r="A83" s="27" t="s">
        <v>36</v>
      </c>
      <c r="B83" s="94"/>
      <c r="C83" s="28"/>
      <c r="D83" s="54"/>
      <c r="E83" s="54"/>
      <c r="F83" s="29"/>
    </row>
    <row r="84" spans="1:6">
      <c r="A84" s="30" t="s">
        <v>54</v>
      </c>
      <c r="B84" s="95"/>
      <c r="C84" s="31"/>
      <c r="D84" s="53"/>
      <c r="E84" s="53"/>
      <c r="F84" s="32"/>
    </row>
    <row r="85" spans="1:6">
      <c r="A85" s="30" t="s">
        <v>55</v>
      </c>
      <c r="B85" s="95"/>
      <c r="C85" s="31"/>
      <c r="D85" s="53"/>
      <c r="E85" s="53"/>
      <c r="F85" s="32"/>
    </row>
    <row r="86" spans="1:6">
      <c r="A86" s="34" t="s">
        <v>60</v>
      </c>
      <c r="B86" s="95"/>
      <c r="C86" s="31"/>
      <c r="D86" s="53"/>
      <c r="E86" s="53"/>
      <c r="F86" s="32"/>
    </row>
    <row r="87" spans="1:6">
      <c r="A87" s="34" t="s">
        <v>59</v>
      </c>
      <c r="B87" s="95"/>
      <c r="C87" s="31"/>
      <c r="D87" s="53"/>
      <c r="E87" s="53"/>
      <c r="F87" s="32"/>
    </row>
    <row r="88" spans="1:6">
      <c r="A88" s="34" t="s">
        <v>61</v>
      </c>
      <c r="B88" s="95"/>
      <c r="C88" s="31"/>
      <c r="D88" s="53"/>
      <c r="E88" s="53"/>
      <c r="F88" s="32"/>
    </row>
    <row r="89" spans="1:6">
      <c r="A89" s="30" t="s">
        <v>62</v>
      </c>
      <c r="B89" s="95"/>
      <c r="C89" s="31"/>
      <c r="D89" s="53"/>
      <c r="E89" s="53"/>
      <c r="F89" s="32"/>
    </row>
    <row r="90" spans="1:6">
      <c r="A90" s="30" t="s">
        <v>58</v>
      </c>
      <c r="B90" s="95"/>
      <c r="C90" s="31"/>
      <c r="D90" s="53"/>
      <c r="E90" s="53"/>
      <c r="F90" s="32"/>
    </row>
    <row r="91" spans="1:6">
      <c r="A91" s="34" t="s">
        <v>57</v>
      </c>
      <c r="B91" s="95"/>
      <c r="C91" s="31"/>
      <c r="D91" s="53"/>
      <c r="E91" s="53"/>
      <c r="F91" s="32"/>
    </row>
    <row r="92" spans="1:6">
      <c r="A92" s="34" t="s">
        <v>56</v>
      </c>
      <c r="B92" s="95"/>
      <c r="C92" s="31"/>
      <c r="D92" s="53"/>
      <c r="E92" s="53"/>
      <c r="F92" s="32"/>
    </row>
    <row r="93" spans="1:6">
      <c r="A93" s="34" t="s">
        <v>63</v>
      </c>
      <c r="B93" s="95"/>
      <c r="C93" s="31"/>
      <c r="D93" s="53"/>
      <c r="E93" s="53"/>
      <c r="F93" s="32"/>
    </row>
    <row r="94" spans="1:6">
      <c r="A94" s="34" t="s">
        <v>64</v>
      </c>
      <c r="B94" s="95"/>
      <c r="C94" s="31"/>
      <c r="D94" s="53"/>
      <c r="E94" s="53"/>
      <c r="F94" s="32"/>
    </row>
    <row r="95" spans="1:6">
      <c r="A95" s="36" t="s">
        <v>66</v>
      </c>
      <c r="B95" s="96"/>
      <c r="C95" s="37"/>
      <c r="D95" s="55"/>
      <c r="E95" s="55"/>
      <c r="F95" s="38"/>
    </row>
  </sheetData>
  <phoneticPr fontId="6" type="noConversion"/>
  <pageMargins left="0.75" right="0.75" top="1" bottom="1" header="0.5" footer="0.5"/>
  <pageSetup orientation="landscape" r:id="rId1"/>
  <headerFooter alignWithMargins="0">
    <oddHeader>&amp;LAugust 2009&amp;C&amp;A&amp;Rdoc.: IEEE 802.11-09/0927r0</oddHeader>
    <oddFooter>&amp;LSubmission&amp;C&amp;P&amp;RWayne Fisher, ARINC, Inc.</oddFooter>
  </headerFooter>
  <drawing r:id="rId2"/>
  <legacyDrawing r:id="rId3"/>
</worksheet>
</file>

<file path=xl/worksheets/sheet4.xml><?xml version="1.0" encoding="utf-8"?>
<worksheet xmlns="http://schemas.openxmlformats.org/spreadsheetml/2006/main" xmlns:r="http://schemas.openxmlformats.org/officeDocument/2006/relationships">
  <sheetPr codeName="Sheet4"/>
  <dimension ref="A1:G31"/>
  <sheetViews>
    <sheetView zoomScale="90" workbookViewId="0">
      <selection activeCell="C34" sqref="C34"/>
    </sheetView>
  </sheetViews>
  <sheetFormatPr defaultRowHeight="12.75"/>
  <cols>
    <col min="1" max="1" width="9.140625" style="15"/>
    <col min="2" max="2" width="12.7109375" customWidth="1"/>
    <col min="3" max="3" width="52.28515625" customWidth="1"/>
    <col min="4" max="4" width="14.85546875" customWidth="1"/>
    <col min="5" max="5" width="10.5703125" customWidth="1"/>
    <col min="6" max="6" width="32.42578125" customWidth="1"/>
  </cols>
  <sheetData>
    <row r="1" spans="1:7" ht="25.5">
      <c r="A1" s="20" t="s">
        <v>84</v>
      </c>
      <c r="B1" s="19" t="s">
        <v>77</v>
      </c>
      <c r="C1" s="18" t="s">
        <v>70</v>
      </c>
      <c r="D1" s="18" t="s">
        <v>78</v>
      </c>
      <c r="E1" s="18" t="s">
        <v>72</v>
      </c>
      <c r="F1" s="18" t="s">
        <v>101</v>
      </c>
      <c r="G1" s="68" t="s">
        <v>85</v>
      </c>
    </row>
    <row r="2" spans="1:7">
      <c r="A2" s="69">
        <v>0</v>
      </c>
      <c r="B2" s="42" t="s">
        <v>234</v>
      </c>
      <c r="C2" s="42" t="s">
        <v>235</v>
      </c>
      <c r="D2" t="s">
        <v>150</v>
      </c>
      <c r="E2" s="90">
        <v>40231</v>
      </c>
      <c r="F2" s="70"/>
      <c r="G2" s="70"/>
    </row>
    <row r="3" spans="1:7">
      <c r="A3" s="69">
        <v>1</v>
      </c>
      <c r="B3" s="70"/>
      <c r="C3" s="70"/>
      <c r="D3" s="70"/>
      <c r="E3" s="89"/>
      <c r="F3" s="70"/>
      <c r="G3" s="70"/>
    </row>
    <row r="4" spans="1:7">
      <c r="A4" s="69">
        <v>2</v>
      </c>
      <c r="B4" s="70"/>
      <c r="C4" s="70"/>
      <c r="D4" s="70"/>
      <c r="E4" s="89"/>
      <c r="F4" s="70"/>
      <c r="G4" s="70"/>
    </row>
    <row r="5" spans="1:7">
      <c r="A5" s="69">
        <v>3</v>
      </c>
      <c r="B5" s="70"/>
      <c r="C5" s="70"/>
      <c r="D5" s="70"/>
      <c r="E5" s="89"/>
      <c r="F5" s="70"/>
      <c r="G5" s="70"/>
    </row>
    <row r="6" spans="1:7">
      <c r="A6" s="69">
        <v>4</v>
      </c>
      <c r="B6" s="70"/>
      <c r="C6" s="70"/>
      <c r="D6" s="70"/>
      <c r="E6" s="89"/>
      <c r="F6" s="70"/>
      <c r="G6" s="70"/>
    </row>
    <row r="7" spans="1:7" ht="15.75">
      <c r="A7" s="69">
        <v>5</v>
      </c>
      <c r="B7" s="70"/>
      <c r="C7" s="88"/>
      <c r="D7" s="70"/>
      <c r="E7" s="71"/>
      <c r="F7" s="70"/>
      <c r="G7" s="70"/>
    </row>
    <row r="8" spans="1:7">
      <c r="A8" s="69">
        <v>6</v>
      </c>
      <c r="B8" s="70"/>
      <c r="C8" s="70"/>
      <c r="D8" s="70"/>
      <c r="E8" s="71"/>
      <c r="F8" s="70"/>
      <c r="G8" s="70"/>
    </row>
    <row r="9" spans="1:7">
      <c r="A9" s="69">
        <v>7</v>
      </c>
      <c r="B9" s="70"/>
      <c r="C9" s="70"/>
      <c r="D9" s="70"/>
      <c r="E9" s="71"/>
      <c r="F9" s="70"/>
      <c r="G9" s="70"/>
    </row>
    <row r="10" spans="1:7">
      <c r="A10" s="69">
        <v>8</v>
      </c>
      <c r="B10" s="70"/>
      <c r="C10" s="70"/>
      <c r="D10" s="70"/>
      <c r="E10" s="71"/>
      <c r="F10" s="70"/>
      <c r="G10" s="70"/>
    </row>
    <row r="11" spans="1:7">
      <c r="A11" s="69">
        <v>9</v>
      </c>
      <c r="B11" s="70"/>
      <c r="C11" s="98"/>
      <c r="D11" s="70"/>
      <c r="E11" s="71"/>
      <c r="F11" s="70"/>
      <c r="G11" s="70"/>
    </row>
    <row r="12" spans="1:7">
      <c r="A12" s="69">
        <v>10</v>
      </c>
      <c r="B12" s="70"/>
      <c r="C12" s="99"/>
      <c r="D12" s="70"/>
      <c r="E12" s="71"/>
      <c r="F12" s="70"/>
      <c r="G12" s="70"/>
    </row>
    <row r="13" spans="1:7">
      <c r="A13" s="69">
        <v>11</v>
      </c>
      <c r="B13" s="70"/>
      <c r="C13" s="99"/>
      <c r="D13" s="70"/>
      <c r="E13" s="71"/>
      <c r="F13" s="70"/>
      <c r="G13" s="70"/>
    </row>
    <row r="14" spans="1:7">
      <c r="A14" s="69">
        <v>12</v>
      </c>
      <c r="B14" s="70"/>
      <c r="C14" s="99"/>
      <c r="D14" s="70"/>
      <c r="E14" s="71"/>
      <c r="F14" s="99"/>
      <c r="G14" s="70"/>
    </row>
    <row r="15" spans="1:7">
      <c r="A15" s="69">
        <v>13</v>
      </c>
      <c r="B15" s="70"/>
      <c r="C15" s="70"/>
      <c r="D15" s="70"/>
      <c r="E15" s="71"/>
      <c r="F15" s="70"/>
      <c r="G15" s="70"/>
    </row>
    <row r="16" spans="1:7">
      <c r="A16" s="69">
        <v>14</v>
      </c>
      <c r="B16" s="70"/>
      <c r="C16" s="70"/>
      <c r="D16" s="70"/>
      <c r="E16" s="71"/>
      <c r="F16" s="70"/>
      <c r="G16" s="70"/>
    </row>
    <row r="17" spans="1:7">
      <c r="A17" s="69">
        <v>15</v>
      </c>
      <c r="B17" s="70"/>
      <c r="C17" s="70"/>
      <c r="D17" s="70"/>
      <c r="E17" s="71"/>
      <c r="F17" s="70"/>
      <c r="G17" s="70"/>
    </row>
    <row r="18" spans="1:7">
      <c r="A18" s="69">
        <v>16</v>
      </c>
      <c r="B18" s="70"/>
      <c r="C18" s="70"/>
      <c r="D18" s="70"/>
      <c r="E18" s="71"/>
      <c r="F18" s="70"/>
      <c r="G18" s="70"/>
    </row>
    <row r="19" spans="1:7">
      <c r="A19" s="69">
        <v>17</v>
      </c>
      <c r="B19" s="70"/>
      <c r="C19" s="70"/>
      <c r="D19" s="70"/>
      <c r="E19" s="71"/>
      <c r="F19" s="70"/>
      <c r="G19" s="70"/>
    </row>
    <row r="20" spans="1:7">
      <c r="A20" s="69">
        <v>18</v>
      </c>
      <c r="B20" s="70"/>
      <c r="C20" s="70"/>
      <c r="D20" s="70"/>
      <c r="E20" s="71"/>
      <c r="F20" s="70"/>
      <c r="G20" s="70"/>
    </row>
    <row r="21" spans="1:7">
      <c r="A21" s="69">
        <v>19</v>
      </c>
      <c r="B21" s="70"/>
      <c r="C21" s="70"/>
      <c r="D21" s="70"/>
      <c r="E21" s="71"/>
      <c r="F21" s="70"/>
      <c r="G21" s="70"/>
    </row>
    <row r="22" spans="1:7">
      <c r="A22" s="69">
        <v>20</v>
      </c>
      <c r="B22" s="70"/>
      <c r="C22" s="70"/>
      <c r="D22" s="70"/>
      <c r="E22" s="71"/>
      <c r="F22" s="70"/>
      <c r="G22" s="70"/>
    </row>
    <row r="23" spans="1:7">
      <c r="A23" s="69">
        <v>21</v>
      </c>
      <c r="B23" s="70"/>
      <c r="C23" s="70"/>
      <c r="D23" s="70"/>
      <c r="E23" s="71"/>
      <c r="F23" s="70"/>
      <c r="G23" s="70"/>
    </row>
    <row r="24" spans="1:7">
      <c r="A24" s="69">
        <v>22</v>
      </c>
      <c r="B24" s="70"/>
      <c r="C24" s="70"/>
      <c r="D24" s="70"/>
      <c r="E24" s="71"/>
      <c r="F24" s="70"/>
      <c r="G24" s="70"/>
    </row>
    <row r="25" spans="1:7">
      <c r="A25" s="69">
        <v>23</v>
      </c>
      <c r="B25" s="70"/>
      <c r="C25" s="70"/>
      <c r="D25" s="70"/>
      <c r="E25" s="71"/>
      <c r="F25" s="70"/>
      <c r="G25" s="70"/>
    </row>
    <row r="26" spans="1:7">
      <c r="A26" s="69">
        <v>24</v>
      </c>
      <c r="B26" s="70"/>
      <c r="C26" s="70"/>
      <c r="D26" s="70"/>
      <c r="E26" s="71"/>
      <c r="F26" s="70"/>
      <c r="G26" s="70"/>
    </row>
    <row r="27" spans="1:7">
      <c r="A27" s="69">
        <v>25</v>
      </c>
      <c r="B27" s="70"/>
      <c r="C27" s="70"/>
      <c r="D27" s="70"/>
      <c r="E27" s="71"/>
      <c r="F27" s="70"/>
      <c r="G27" s="70"/>
    </row>
    <row r="31" spans="1:7">
      <c r="C31" s="91"/>
    </row>
  </sheetData>
  <phoneticPr fontId="6" type="noConversion"/>
  <dataValidations count="3">
    <dataValidation type="list" allowBlank="1" showInputMessage="1" showErrorMessage="1" sqref="B3:B10">
      <formula1>"Telcon1, Telcon2, Telcon3, Telcon4, Telcon5, Telcon6, Telcon7, Telcon8, Telcon9, Telcon10, Telcon11, Telcon12, Telcon13, Telcon14, Telcon15, Dallas, London, Orlando, Montreal, San Francisco, Hawaii, Atlanta, Denver, Ad-hoc2, Ad-hoc2, Ad-hoc3, Ad-hoc4"</formula1>
    </dataValidation>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11:B27">
      <formula1>"Telcon1, Telcon2, Telcon3, Telcon4, Telcon5, Telcon6, Los Angeles, Orlando"</formula1>
    </dataValidation>
  </dataValidations>
  <pageMargins left="0.75" right="0.75" top="1" bottom="1" header="0.5" footer="0.5"/>
  <pageSetup orientation="portrait" r:id="rId1"/>
  <headerFooter alignWithMargins="0">
    <oddHeader>&amp;LAugust 2009&amp;C&amp;A&amp;Rdoc.: IEEE 802.11-09/0927r0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selection activeCell="A2" sqref="A2"/>
    </sheetView>
  </sheetViews>
  <sheetFormatPr defaultRowHeight="12.75"/>
  <cols>
    <col min="1" max="1" width="35.5703125" customWidth="1"/>
    <col min="2" max="2" width="25.7109375" customWidth="1"/>
  </cols>
  <sheetData>
    <row r="1" spans="1:1" ht="15.75">
      <c r="A1" s="10" t="s">
        <v>98</v>
      </c>
    </row>
    <row r="2" spans="1:1">
      <c r="A2" s="11"/>
    </row>
    <row r="3" spans="1:1">
      <c r="A3" s="11"/>
    </row>
    <row r="4" spans="1:1">
      <c r="A4" s="11"/>
    </row>
    <row r="5" spans="1:1">
      <c r="A5" s="11"/>
    </row>
    <row r="6" spans="1:1">
      <c r="A6" s="26"/>
    </row>
    <row r="7" spans="1:1">
      <c r="A7" s="13"/>
    </row>
    <row r="8" spans="1:1">
      <c r="A8" s="13"/>
    </row>
    <row r="9" spans="1:1">
      <c r="A9" s="13"/>
    </row>
    <row r="10" spans="1:1">
      <c r="A10" s="13"/>
    </row>
    <row r="11" spans="1:1">
      <c r="A11" s="13"/>
    </row>
    <row r="12" spans="1:1">
      <c r="A12" s="13"/>
    </row>
    <row r="13" spans="1:1">
      <c r="A13" s="13"/>
    </row>
    <row r="14" spans="1:1">
      <c r="A14" s="13"/>
    </row>
    <row r="15" spans="1:1">
      <c r="A15" s="13"/>
    </row>
    <row r="16" spans="1:1">
      <c r="A16" s="13"/>
    </row>
    <row r="17" spans="1:1">
      <c r="A17" s="13"/>
    </row>
    <row r="18" spans="1:1">
      <c r="A18" s="13"/>
    </row>
    <row r="19" spans="1:1">
      <c r="A19" s="13"/>
    </row>
    <row r="20" spans="1:1">
      <c r="A20" s="13"/>
    </row>
    <row r="21" spans="1:1">
      <c r="A21" s="13"/>
    </row>
    <row r="22" spans="1:1">
      <c r="A22" s="13"/>
    </row>
    <row r="23" spans="1:1">
      <c r="A23" s="13"/>
    </row>
    <row r="24" spans="1:1">
      <c r="A24" s="13"/>
    </row>
    <row r="25" spans="1:1">
      <c r="A25" s="11"/>
    </row>
    <row r="26" spans="1:1">
      <c r="A26" s="11"/>
    </row>
    <row r="27" spans="1:1">
      <c r="A27" s="11"/>
    </row>
    <row r="28" spans="1:1">
      <c r="A28" s="11"/>
    </row>
    <row r="29" spans="1:1">
      <c r="A29" s="11"/>
    </row>
    <row r="30" spans="1:1">
      <c r="A30" s="11"/>
    </row>
    <row r="31" spans="1:1">
      <c r="A31" s="11"/>
    </row>
  </sheetData>
  <phoneticPr fontId="6" type="noConversion"/>
  <pageMargins left="0.75" right="0.75" top="1" bottom="1" header="0.5" footer="0.5"/>
  <pageSetup orientation="portrait" r:id="rId1"/>
  <headerFooter alignWithMargins="0">
    <oddHeader>&amp;LAugust 2009&amp;C&amp;A&amp;Rdoc.: IEEE 802.11-09/0927r0</oddHeader>
    <oddFooter>&amp;LSubmission&amp;C&amp;P&amp;RWayne Fisher, ARINC, Inc.</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Master</vt:lpstr>
      <vt:lpstr>OverView</vt:lpstr>
      <vt:lpstr>Revisions</vt:lpstr>
      <vt:lpstr>References</vt:lpstr>
      <vt:lpstr>Sheet2</vt:lpstr>
    </vt:vector>
  </TitlesOfParts>
  <Company>ARINC,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154 Comment Resolution</dc:title>
  <dc:subject>Comment Resolution</dc:subject>
  <dc:creator>Wayne Fisher</dc:creator>
  <cp:keywords>WAVE, IEEE 802.11p</cp:keywords>
  <dc:description>August 2009   Master Spreadsheet</dc:description>
  <cp:lastModifiedBy>Lee Armstrong</cp:lastModifiedBy>
  <cp:lastPrinted>2010-01-12T18:12:18Z</cp:lastPrinted>
  <dcterms:created xsi:type="dcterms:W3CDTF">2004-07-14T16:37:20Z</dcterms:created>
  <dcterms:modified xsi:type="dcterms:W3CDTF">2010-03-22T12:08:25Z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