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11y" sheetId="2" r:id="rId2"/>
    <sheet name="Pagecount" sheetId="3" r:id="rId3"/>
    <sheet name="Timelines" sheetId="4" r:id="rId4"/>
    <sheet name="References" sheetId="5" r:id="rId5"/>
  </sheets>
  <definedNames/>
  <calcPr fullCalcOnLoad="1"/>
</workbook>
</file>

<file path=xl/sharedStrings.xml><?xml version="1.0" encoding="utf-8"?>
<sst xmlns="http://schemas.openxmlformats.org/spreadsheetml/2006/main" count="117" uniqueCount="98">
  <si>
    <t>Submission</t>
  </si>
  <si>
    <t>Venue Date:</t>
  </si>
  <si>
    <t>IEEE P802.11 Wireless LANs</t>
  </si>
  <si>
    <t>Abstract:</t>
  </si>
  <si>
    <t>Subject:</t>
  </si>
  <si>
    <t>Author(s):</t>
  </si>
  <si>
    <t xml:space="preserve">Fax: </t>
  </si>
  <si>
    <t>First Author:</t>
  </si>
  <si>
    <t>Designator:</t>
  </si>
  <si>
    <t>References:</t>
  </si>
  <si>
    <t>Full Date:</t>
  </si>
  <si>
    <t>Date</t>
  </si>
  <si>
    <t>Draft</t>
  </si>
  <si>
    <t>Body pages</t>
  </si>
  <si>
    <t>Comments</t>
  </si>
  <si>
    <t>Cum Manweeks</t>
  </si>
  <si>
    <t>Cum Comments</t>
  </si>
  <si>
    <t>TG Week number</t>
  </si>
  <si>
    <t>D0.01 posted 20-Sep</t>
  </si>
  <si>
    <t>D1.0 posted 17-Nov</t>
  </si>
  <si>
    <t>Meeting Manweeks</t>
  </si>
  <si>
    <t>LB94 closed 7-Jan, 07/0008r11 comments</t>
  </si>
  <si>
    <t>LB104 closed 5-May, 07/0602r7 comments</t>
  </si>
  <si>
    <t>LB106 closed 20-Jun, 07/2019r6 comments</t>
  </si>
  <si>
    <t>LB109 closed 21-Aug, 07/2333r7 comments</t>
  </si>
  <si>
    <t>LB112 closed 13-Oct, 07/2623r5 comments</t>
  </si>
  <si>
    <t>LB116 closed 8-Dec, 07/2945r1 comments</t>
  </si>
  <si>
    <t>Informal review of D0.01 closed 22-Oct, 06/1609r3 comments</t>
  </si>
  <si>
    <t>Non-admin submissions</t>
  </si>
  <si>
    <t>Cum Non-admin submissions</t>
  </si>
  <si>
    <t>body pages</t>
  </si>
  <si>
    <t>802.11-2007</t>
  </si>
  <si>
    <t>Total</t>
  </si>
  <si>
    <t>Radio Resource Measurement</t>
  </si>
  <si>
    <t>Fast Roaming</t>
  </si>
  <si>
    <t>3650-3700 MHz Operation in USA</t>
  </si>
  <si>
    <t>Protected Management Frames</t>
  </si>
  <si>
    <t>High Throughput</t>
  </si>
  <si>
    <t>Interworking w/ External Networks</t>
  </si>
  <si>
    <t>Extensions to Direct Link Setup</t>
  </si>
  <si>
    <t>Wireless Network Management</t>
  </si>
  <si>
    <t>Mesh Networking</t>
  </si>
  <si>
    <t>Wireless Access for the Vehicular Environment</t>
  </si>
  <si>
    <t>SB closed 30-Jan, 08/0226r8 comments</t>
  </si>
  <si>
    <t>11w D6.0</t>
  </si>
  <si>
    <t>802.11y-2 closed 27-Mar, 08/0443r3 comments</t>
  </si>
  <si>
    <t>802.11y-1 closed 8-Mar, 08/0277r4 comments</t>
  </si>
  <si>
    <t>11mb</t>
  </si>
  <si>
    <t>11aa</t>
  </si>
  <si>
    <t>Video Transport Streams</t>
  </si>
  <si>
    <t>REV-mb</t>
  </si>
  <si>
    <t>11k-2008</t>
  </si>
  <si>
    <t>11y D11.0</t>
  </si>
  <si>
    <t>11z D2.0</t>
  </si>
  <si>
    <t>NesCom</t>
  </si>
  <si>
    <t>RevCom</t>
  </si>
  <si>
    <t>802.11y-3 closed 18-Apr, 08/0467r3 comments</t>
  </si>
  <si>
    <t>802.11y-4 closed 20-Jun, 08/0735r0 comment</t>
  </si>
  <si>
    <t>11v D3.01</t>
  </si>
  <si>
    <t>11u D3.01</t>
  </si>
  <si>
    <t>11r-2008</t>
  </si>
  <si>
    <t>11n D6.03</t>
  </si>
  <si>
    <t>11p D4.02</t>
  </si>
  <si>
    <t>11ac</t>
  </si>
  <si>
    <t>VHTL6</t>
  </si>
  <si>
    <t>11s D2.02</t>
  </si>
  <si>
    <t>to Review</t>
  </si>
  <si>
    <t>This spreadsheet has the 802.11 WG, 802 EC and Standards Board agenda and meeting dates and current timelines</t>
  </si>
  <si>
    <t>802.11 WG</t>
  </si>
  <si>
    <t>802 EC agenda</t>
  </si>
  <si>
    <t>802 EC vote</t>
  </si>
  <si>
    <t>pages per month</t>
  </si>
  <si>
    <t>pages</t>
  </si>
  <si>
    <t>11n D7.0</t>
  </si>
  <si>
    <t>RevCom agenda</t>
  </si>
  <si>
    <t>RevCom vote</t>
  </si>
  <si>
    <t>Actual months</t>
  </si>
  <si>
    <t>Months</t>
  </si>
  <si>
    <t>equals</t>
  </si>
  <si>
    <t>divided by</t>
  </si>
  <si>
    <t>fcast Months</t>
  </si>
  <si>
    <t>(0.5 + (0.0125 * pages))</t>
  </si>
  <si>
    <t>Per month</t>
  </si>
  <si>
    <t>TG months</t>
  </si>
  <si>
    <t>11v D3.02</t>
  </si>
  <si>
    <t>fcast RevCom</t>
  </si>
  <si>
    <t>pagecnt RevCom</t>
  </si>
  <si>
    <t>2008-09-26</t>
  </si>
  <si>
    <t>Peter Ecclesine</t>
  </si>
  <si>
    <t>Cisco Systems</t>
  </si>
  <si>
    <t>170 W. Tasman Dr, MS SJ-10-5, San Jose, CA 95134-1706</t>
  </si>
  <si>
    <t>+1-408-527-0815</t>
  </si>
  <si>
    <t>petere@cisco.com</t>
  </si>
  <si>
    <t>September 2008</t>
  </si>
  <si>
    <t>Peter Ecclesine, Cisco Systems</t>
  </si>
  <si>
    <t>doc.: IEEE 802.11-08/1205r0</t>
  </si>
  <si>
    <t>802.11y Production</t>
  </si>
  <si>
    <t>Approved Standard 25 September,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</si>
</sst>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409]d\-mmm\-yy;@"/>
    <numFmt numFmtId="167" formatCode="0.0000"/>
    <numFmt numFmtId="168" formatCode="0.00000"/>
    <numFmt numFmtId="169" formatCode="0.000"/>
    <numFmt numFmtId="170" formatCode="0.0"/>
  </numFmts>
  <fonts count="1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u val="single"/>
      <sz val="10"/>
      <color indexed="36"/>
      <name val="Arial"/>
      <family val="0"/>
    </font>
    <font>
      <sz val="10"/>
      <color indexed="57"/>
      <name val="Arial"/>
      <family val="0"/>
    </font>
    <font>
      <sz val="10"/>
      <color indexed="11"/>
      <name val="Arial"/>
      <family val="0"/>
    </font>
    <font>
      <sz val="10"/>
      <color indexed="12"/>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0" fillId="0" borderId="0" xfId="0" applyAlignment="1">
      <alignment wrapText="1"/>
    </xf>
    <xf numFmtId="166" fontId="0" fillId="0" borderId="0" xfId="0" applyNumberFormat="1" applyAlignment="1">
      <alignment/>
    </xf>
    <xf numFmtId="170" fontId="0" fillId="0" borderId="0" xfId="0" applyNumberFormat="1" applyAlignment="1">
      <alignment/>
    </xf>
    <xf numFmtId="14" fontId="0" fillId="0" borderId="0" xfId="0" applyNumberFormat="1" applyAlignment="1">
      <alignment/>
    </xf>
    <xf numFmtId="2" fontId="0" fillId="0" borderId="0" xfId="0" applyNumberFormat="1" applyAlignment="1">
      <alignment/>
    </xf>
    <xf numFmtId="0" fontId="8" fillId="0" borderId="0" xfId="0" applyFont="1" applyAlignment="1">
      <alignment/>
    </xf>
    <xf numFmtId="0" fontId="0" fillId="0" borderId="0" xfId="0" applyFont="1" applyAlignment="1">
      <alignment/>
    </xf>
    <xf numFmtId="0" fontId="9" fillId="0" borderId="0" xfId="0" applyFont="1" applyAlignment="1">
      <alignment/>
    </xf>
    <xf numFmtId="2" fontId="10" fillId="0" borderId="0" xfId="0" applyNumberFormat="1" applyFont="1" applyAlignment="1">
      <alignment/>
    </xf>
    <xf numFmtId="0" fontId="10" fillId="0" borderId="0" xfId="0" applyFont="1" applyAlignment="1">
      <alignment/>
    </xf>
    <xf numFmtId="1" fontId="0" fillId="0" borderId="0" xfId="0"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1"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weekly tally of participant hours, submissions, comments and resolutions and draft body pages.
About 31 participant weeks over 2.5 years to draft and ballot 74 pages and resolve 1638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P14" sqref="P1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8</v>
      </c>
      <c r="B3" s="1" t="s">
        <v>95</v>
      </c>
    </row>
    <row r="4" spans="1:6" ht="18.75">
      <c r="A4" s="2" t="s">
        <v>1</v>
      </c>
      <c r="B4" s="25" t="s">
        <v>93</v>
      </c>
      <c r="F4" s="7"/>
    </row>
    <row r="5" spans="1:2" ht="15.75">
      <c r="A5" s="2" t="s">
        <v>7</v>
      </c>
      <c r="B5" s="8" t="s">
        <v>94</v>
      </c>
    </row>
    <row r="6" s="3" customFormat="1" ht="16.5" thickBot="1"/>
    <row r="7" spans="1:2" s="4" customFormat="1" ht="18.75">
      <c r="A7" s="4" t="s">
        <v>4</v>
      </c>
      <c r="B7" s="9" t="s">
        <v>96</v>
      </c>
    </row>
    <row r="8" spans="1:2" ht="15.75">
      <c r="A8" s="2" t="s">
        <v>10</v>
      </c>
      <c r="B8" s="8" t="s">
        <v>87</v>
      </c>
    </row>
    <row r="9" spans="1:9" ht="15.75">
      <c r="A9" s="2" t="s">
        <v>5</v>
      </c>
      <c r="B9" s="8" t="s">
        <v>88</v>
      </c>
      <c r="C9" s="8"/>
      <c r="D9" s="8"/>
      <c r="E9" s="8"/>
      <c r="F9" s="8"/>
      <c r="G9" s="8"/>
      <c r="H9" s="8"/>
      <c r="I9" s="8"/>
    </row>
    <row r="10" spans="2:9" ht="15.75">
      <c r="B10" s="8" t="s">
        <v>89</v>
      </c>
      <c r="C10" s="8"/>
      <c r="D10" s="8"/>
      <c r="E10" s="8"/>
      <c r="F10" s="8"/>
      <c r="G10" s="8"/>
      <c r="H10" s="8"/>
      <c r="I10" s="8"/>
    </row>
    <row r="11" spans="2:9" ht="15.75">
      <c r="B11" s="8" t="s">
        <v>90</v>
      </c>
      <c r="C11" s="8"/>
      <c r="D11" s="8"/>
      <c r="E11" s="8"/>
      <c r="F11" s="8"/>
      <c r="G11" s="8"/>
      <c r="H11" s="8"/>
      <c r="I11" s="8"/>
    </row>
    <row r="12" spans="2:9" ht="15.75">
      <c r="B12" s="8" t="s">
        <v>91</v>
      </c>
      <c r="C12" s="8"/>
      <c r="D12" s="8"/>
      <c r="E12" s="8"/>
      <c r="F12" s="8"/>
      <c r="G12" s="8"/>
      <c r="H12" s="8"/>
      <c r="I12" s="8"/>
    </row>
    <row r="13" spans="2:9" ht="15.75">
      <c r="B13" s="8" t="s">
        <v>6</v>
      </c>
      <c r="C13" s="8"/>
      <c r="D13" s="8"/>
      <c r="E13" s="8"/>
      <c r="F13" s="8"/>
      <c r="G13" s="8"/>
      <c r="H13" s="8"/>
      <c r="I13" s="8"/>
    </row>
    <row r="14" spans="2:9" ht="15.75">
      <c r="B14" s="8" t="s">
        <v>92</v>
      </c>
      <c r="C14" s="8"/>
      <c r="D14" s="8"/>
      <c r="E14" s="8"/>
      <c r="F14" s="8"/>
      <c r="G14" s="8"/>
      <c r="H14" s="8"/>
      <c r="I14" s="8"/>
    </row>
    <row r="15" ht="15.75">
      <c r="A15" s="2" t="s">
        <v>3</v>
      </c>
    </row>
    <row r="27" spans="1:5" ht="15.75" customHeight="1">
      <c r="A27" s="6"/>
      <c r="B27" s="24"/>
      <c r="C27" s="24"/>
      <c r="D27" s="24"/>
      <c r="E27" s="24"/>
    </row>
    <row r="28" spans="1:5" ht="15.75" customHeight="1">
      <c r="A28" s="4"/>
      <c r="B28" s="5"/>
      <c r="C28" s="5"/>
      <c r="D28" s="5"/>
      <c r="E28" s="5"/>
    </row>
    <row r="29" spans="1:5" ht="15.75" customHeight="1">
      <c r="A29" s="4"/>
      <c r="B29" s="23"/>
      <c r="C29" s="23"/>
      <c r="D29" s="23"/>
      <c r="E29" s="23"/>
    </row>
    <row r="30" spans="1:5" ht="15.75" customHeight="1">
      <c r="A30" s="4"/>
      <c r="B30" s="5"/>
      <c r="C30" s="5"/>
      <c r="D30" s="5"/>
      <c r="E30" s="5"/>
    </row>
    <row r="31" spans="1:5" ht="15.75" customHeight="1">
      <c r="A31" s="4"/>
      <c r="B31" s="23"/>
      <c r="C31" s="23"/>
      <c r="D31" s="23"/>
      <c r="E31" s="23"/>
    </row>
    <row r="32" spans="2:5" ht="15.75" customHeight="1">
      <c r="B32" s="23"/>
      <c r="C32" s="23"/>
      <c r="D32" s="23"/>
      <c r="E32" s="2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Roman,Bold"&amp;14September 2008&amp;C&amp;"Times New Roman,Bold"&amp;14&amp;A&amp;R&amp;"Times New Roman,Bold"&amp;14doc.: IEEE 802.11-08/1205r0</oddHeader>
    <oddFooter>&amp;L&amp;"Times New Roman,Regular"&amp;12Submission&amp;C&amp;"Times New Roman,Regular"&amp;12&amp;P&amp;R&amp;"Times New Roman,Regular"&amp;12Peter Ecclesine, Cisco Systems</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L159"/>
  <sheetViews>
    <sheetView workbookViewId="0" topLeftCell="A1">
      <pane ySplit="1275" topLeftCell="BM92" activePane="bottomLeft" state="split"/>
      <selection pane="topLeft" activeCell="J2" sqref="J2"/>
      <selection pane="bottomLeft" activeCell="K135" sqref="K135"/>
    </sheetView>
  </sheetViews>
  <sheetFormatPr defaultColWidth="9.140625" defaultRowHeight="12.75"/>
  <cols>
    <col min="2" max="2" width="9.7109375" style="0" bestFit="1" customWidth="1"/>
    <col min="5" max="5" width="10.00390625" style="0" customWidth="1"/>
    <col min="6" max="6" width="10.57421875" style="0" customWidth="1"/>
    <col min="7" max="7" width="12.00390625" style="0" customWidth="1"/>
    <col min="8" max="8" width="10.57421875" style="0" customWidth="1"/>
    <col min="9" max="9" width="10.7109375" style="0" customWidth="1"/>
    <col min="10" max="10" width="11.28125" style="0" customWidth="1"/>
    <col min="12" max="12" width="10.57421875" style="0" bestFit="1" customWidth="1"/>
  </cols>
  <sheetData>
    <row r="1" spans="1:11" ht="51">
      <c r="A1" s="12" t="s">
        <v>17</v>
      </c>
      <c r="B1" s="12" t="s">
        <v>11</v>
      </c>
      <c r="C1" s="12" t="s">
        <v>12</v>
      </c>
      <c r="D1" s="12" t="s">
        <v>13</v>
      </c>
      <c r="E1" s="12" t="s">
        <v>20</v>
      </c>
      <c r="F1" s="12" t="s">
        <v>14</v>
      </c>
      <c r="G1" s="12" t="s">
        <v>28</v>
      </c>
      <c r="H1" s="12" t="s">
        <v>15</v>
      </c>
      <c r="I1" s="12" t="s">
        <v>16</v>
      </c>
      <c r="J1" s="12" t="s">
        <v>29</v>
      </c>
      <c r="K1" s="12"/>
    </row>
    <row r="2" spans="1:11" ht="12.75">
      <c r="A2" s="12"/>
      <c r="B2" s="12"/>
      <c r="C2" s="12"/>
      <c r="D2" s="12"/>
      <c r="E2" s="12">
        <v>40</v>
      </c>
      <c r="F2" s="12"/>
      <c r="G2" s="12"/>
      <c r="H2" s="12"/>
      <c r="I2" s="12"/>
      <c r="J2" s="12"/>
      <c r="K2" s="12"/>
    </row>
    <row r="3" spans="1:10" ht="12.75">
      <c r="A3">
        <v>1</v>
      </c>
      <c r="B3" s="13">
        <v>38795</v>
      </c>
      <c r="H3">
        <f>H2+E3</f>
        <v>0</v>
      </c>
      <c r="I3">
        <f>I2+F3</f>
        <v>0</v>
      </c>
      <c r="J3">
        <f>J2+G3</f>
        <v>0</v>
      </c>
    </row>
    <row r="4" spans="1:10" ht="12.75">
      <c r="A4">
        <v>2</v>
      </c>
      <c r="B4" s="13">
        <v>38802</v>
      </c>
      <c r="E4">
        <f>1/E2</f>
        <v>0.025</v>
      </c>
      <c r="H4">
        <f>H3+E4</f>
        <v>0.025</v>
      </c>
      <c r="I4">
        <f aca="true" t="shared" si="0" ref="I4:I67">I3+F4</f>
        <v>0</v>
      </c>
      <c r="J4">
        <f aca="true" t="shared" si="1" ref="J4:J67">J3+G4</f>
        <v>0</v>
      </c>
    </row>
    <row r="5" spans="1:10" ht="12.75">
      <c r="A5">
        <v>3</v>
      </c>
      <c r="B5" s="13">
        <v>38809</v>
      </c>
      <c r="H5">
        <f>H4+E5</f>
        <v>0.025</v>
      </c>
      <c r="I5">
        <f t="shared" si="0"/>
        <v>0</v>
      </c>
      <c r="J5">
        <f t="shared" si="1"/>
        <v>0</v>
      </c>
    </row>
    <row r="6" spans="1:10" ht="12.75">
      <c r="A6">
        <v>4</v>
      </c>
      <c r="B6" s="13">
        <v>38816</v>
      </c>
      <c r="H6">
        <f>H5+E6</f>
        <v>0.025</v>
      </c>
      <c r="I6">
        <f t="shared" si="0"/>
        <v>0</v>
      </c>
      <c r="J6">
        <f t="shared" si="1"/>
        <v>0</v>
      </c>
    </row>
    <row r="7" spans="1:10" ht="12.75">
      <c r="A7">
        <v>5</v>
      </c>
      <c r="B7" s="13">
        <v>38823</v>
      </c>
      <c r="E7">
        <f>4*58/60/E2</f>
        <v>0.09666666666666666</v>
      </c>
      <c r="H7">
        <f>H6+E7</f>
        <v>0.12166666666666667</v>
      </c>
      <c r="I7">
        <f t="shared" si="0"/>
        <v>0</v>
      </c>
      <c r="J7">
        <f t="shared" si="1"/>
        <v>0</v>
      </c>
    </row>
    <row r="8" spans="1:10" ht="12.75">
      <c r="A8">
        <v>6</v>
      </c>
      <c r="B8" s="13">
        <v>38830</v>
      </c>
      <c r="H8">
        <f aca="true" t="shared" si="2" ref="H8:H71">H7+E8</f>
        <v>0.12166666666666667</v>
      </c>
      <c r="I8">
        <f t="shared" si="0"/>
        <v>0</v>
      </c>
      <c r="J8">
        <f t="shared" si="1"/>
        <v>0</v>
      </c>
    </row>
    <row r="9" spans="1:10" ht="12.75">
      <c r="A9">
        <v>7</v>
      </c>
      <c r="B9" s="13">
        <v>38837</v>
      </c>
      <c r="E9">
        <f>1/E2</f>
        <v>0.025</v>
      </c>
      <c r="H9">
        <f t="shared" si="2"/>
        <v>0.14666666666666667</v>
      </c>
      <c r="I9">
        <f t="shared" si="0"/>
        <v>0</v>
      </c>
      <c r="J9">
        <f t="shared" si="1"/>
        <v>0</v>
      </c>
    </row>
    <row r="10" spans="1:10" ht="12.75">
      <c r="A10">
        <v>8</v>
      </c>
      <c r="B10" s="13">
        <v>38844</v>
      </c>
      <c r="E10">
        <f>(9*55/60)/E2+1/E2</f>
        <v>0.23124999999999998</v>
      </c>
      <c r="G10">
        <v>1</v>
      </c>
      <c r="H10">
        <f t="shared" si="2"/>
        <v>0.3779166666666667</v>
      </c>
      <c r="I10">
        <f t="shared" si="0"/>
        <v>0</v>
      </c>
      <c r="J10">
        <f t="shared" si="1"/>
        <v>1</v>
      </c>
    </row>
    <row r="11" spans="1:10" ht="12.75">
      <c r="A11">
        <v>9</v>
      </c>
      <c r="B11" s="13">
        <v>38851</v>
      </c>
      <c r="E11">
        <f>(40*108/60)/E2+3/E2+1/E2</f>
        <v>1.9</v>
      </c>
      <c r="H11">
        <f t="shared" si="2"/>
        <v>2.2779166666666666</v>
      </c>
      <c r="I11">
        <f t="shared" si="0"/>
        <v>0</v>
      </c>
      <c r="J11">
        <f t="shared" si="1"/>
        <v>1</v>
      </c>
    </row>
    <row r="12" spans="1:10" ht="12.75">
      <c r="A12">
        <v>10</v>
      </c>
      <c r="B12" s="13">
        <v>38858</v>
      </c>
      <c r="H12">
        <f t="shared" si="2"/>
        <v>2.2779166666666666</v>
      </c>
      <c r="I12">
        <f t="shared" si="0"/>
        <v>0</v>
      </c>
      <c r="J12">
        <f t="shared" si="1"/>
        <v>1</v>
      </c>
    </row>
    <row r="13" spans="1:10" ht="12.75">
      <c r="A13">
        <v>11</v>
      </c>
      <c r="B13" s="13">
        <v>38865</v>
      </c>
      <c r="E13">
        <f>1/E2</f>
        <v>0.025</v>
      </c>
      <c r="H13">
        <f t="shared" si="2"/>
        <v>2.3029166666666665</v>
      </c>
      <c r="I13">
        <f t="shared" si="0"/>
        <v>0</v>
      </c>
      <c r="J13">
        <f t="shared" si="1"/>
        <v>1</v>
      </c>
    </row>
    <row r="14" spans="1:10" ht="12.75">
      <c r="A14">
        <v>12</v>
      </c>
      <c r="B14" s="13">
        <v>38872</v>
      </c>
      <c r="E14">
        <f>1/E2</f>
        <v>0.025</v>
      </c>
      <c r="H14">
        <f t="shared" si="2"/>
        <v>2.3279166666666664</v>
      </c>
      <c r="I14">
        <f t="shared" si="0"/>
        <v>0</v>
      </c>
      <c r="J14">
        <f t="shared" si="1"/>
        <v>1</v>
      </c>
    </row>
    <row r="15" spans="1:10" ht="12.75">
      <c r="A15">
        <v>13</v>
      </c>
      <c r="B15" s="13">
        <v>38879</v>
      </c>
      <c r="E15">
        <f>10/E2</f>
        <v>0.25</v>
      </c>
      <c r="H15">
        <f t="shared" si="2"/>
        <v>2.5779166666666664</v>
      </c>
      <c r="I15">
        <f t="shared" si="0"/>
        <v>0</v>
      </c>
      <c r="J15">
        <f t="shared" si="1"/>
        <v>1</v>
      </c>
    </row>
    <row r="16" spans="1:10" ht="12.75">
      <c r="A16">
        <v>14</v>
      </c>
      <c r="B16" s="13">
        <v>38886</v>
      </c>
      <c r="G16">
        <v>1</v>
      </c>
      <c r="H16">
        <f t="shared" si="2"/>
        <v>2.5779166666666664</v>
      </c>
      <c r="I16">
        <f t="shared" si="0"/>
        <v>0</v>
      </c>
      <c r="J16">
        <f t="shared" si="1"/>
        <v>2</v>
      </c>
    </row>
    <row r="17" spans="1:10" ht="12.75">
      <c r="A17">
        <v>15</v>
      </c>
      <c r="B17" s="13">
        <v>38893</v>
      </c>
      <c r="E17">
        <f>(10*106/60)/E2+3/E2</f>
        <v>0.5166666666666667</v>
      </c>
      <c r="G17">
        <v>2</v>
      </c>
      <c r="H17">
        <f t="shared" si="2"/>
        <v>3.094583333333333</v>
      </c>
      <c r="I17">
        <f t="shared" si="0"/>
        <v>0</v>
      </c>
      <c r="J17">
        <f t="shared" si="1"/>
        <v>4</v>
      </c>
    </row>
    <row r="18" spans="1:10" ht="12.75">
      <c r="A18">
        <v>16</v>
      </c>
      <c r="B18" s="13">
        <v>38900</v>
      </c>
      <c r="E18">
        <f>1/E2</f>
        <v>0.025</v>
      </c>
      <c r="H18">
        <f t="shared" si="2"/>
        <v>3.119583333333333</v>
      </c>
      <c r="I18">
        <f t="shared" si="0"/>
        <v>0</v>
      </c>
      <c r="J18">
        <f t="shared" si="1"/>
        <v>4</v>
      </c>
    </row>
    <row r="19" spans="1:10" ht="12.75">
      <c r="A19">
        <v>17</v>
      </c>
      <c r="B19" s="13">
        <v>38907</v>
      </c>
      <c r="E19">
        <f>(7*85/60)/E2+1/E2</f>
        <v>0.27291666666666664</v>
      </c>
      <c r="H19">
        <f t="shared" si="2"/>
        <v>3.3924999999999996</v>
      </c>
      <c r="I19">
        <f t="shared" si="0"/>
        <v>0</v>
      </c>
      <c r="J19">
        <f t="shared" si="1"/>
        <v>4</v>
      </c>
    </row>
    <row r="20" spans="1:10" ht="12.75">
      <c r="A20">
        <v>18</v>
      </c>
      <c r="B20" s="13">
        <v>38914</v>
      </c>
      <c r="E20">
        <f>((53*2)+(22*2)+(19*1))/E2+3/E2+1/E2</f>
        <v>4.325</v>
      </c>
      <c r="G20">
        <v>2</v>
      </c>
      <c r="H20">
        <f t="shared" si="2"/>
        <v>7.717499999999999</v>
      </c>
      <c r="I20">
        <f t="shared" si="0"/>
        <v>0</v>
      </c>
      <c r="J20">
        <f t="shared" si="1"/>
        <v>6</v>
      </c>
    </row>
    <row r="21" spans="1:10" ht="12.75">
      <c r="A21">
        <v>19</v>
      </c>
      <c r="B21" s="13">
        <v>38921</v>
      </c>
      <c r="H21">
        <f t="shared" si="2"/>
        <v>7.717499999999999</v>
      </c>
      <c r="I21">
        <f t="shared" si="0"/>
        <v>0</v>
      </c>
      <c r="J21">
        <f t="shared" si="1"/>
        <v>6</v>
      </c>
    </row>
    <row r="22" spans="1:10" ht="12.75">
      <c r="A22">
        <v>20</v>
      </c>
      <c r="B22" s="13">
        <v>38928</v>
      </c>
      <c r="E22">
        <f>1/E2</f>
        <v>0.025</v>
      </c>
      <c r="H22">
        <f t="shared" si="2"/>
        <v>7.7425</v>
      </c>
      <c r="I22">
        <f t="shared" si="0"/>
        <v>0</v>
      </c>
      <c r="J22">
        <f t="shared" si="1"/>
        <v>6</v>
      </c>
    </row>
    <row r="23" spans="1:10" ht="12.75">
      <c r="A23">
        <v>21</v>
      </c>
      <c r="B23" s="13">
        <v>38935</v>
      </c>
      <c r="E23">
        <f>1/E2</f>
        <v>0.025</v>
      </c>
      <c r="H23">
        <f t="shared" si="2"/>
        <v>7.7675</v>
      </c>
      <c r="I23">
        <f t="shared" si="0"/>
        <v>0</v>
      </c>
      <c r="J23">
        <f t="shared" si="1"/>
        <v>6</v>
      </c>
    </row>
    <row r="24" spans="1:10" ht="12.75">
      <c r="A24">
        <v>22</v>
      </c>
      <c r="B24" s="13">
        <v>38942</v>
      </c>
      <c r="E24">
        <f>(9*74/60)/E2</f>
        <v>0.27749999999999997</v>
      </c>
      <c r="H24">
        <f t="shared" si="2"/>
        <v>8.045</v>
      </c>
      <c r="I24">
        <f t="shared" si="0"/>
        <v>0</v>
      </c>
      <c r="J24">
        <f t="shared" si="1"/>
        <v>6</v>
      </c>
    </row>
    <row r="25" spans="1:10" ht="12.75">
      <c r="A25">
        <v>23</v>
      </c>
      <c r="B25" s="13">
        <v>38949</v>
      </c>
      <c r="H25">
        <f t="shared" si="2"/>
        <v>8.045</v>
      </c>
      <c r="I25">
        <f t="shared" si="0"/>
        <v>0</v>
      </c>
      <c r="J25">
        <f t="shared" si="1"/>
        <v>6</v>
      </c>
    </row>
    <row r="26" spans="1:10" ht="12.75">
      <c r="A26">
        <v>24</v>
      </c>
      <c r="B26" s="13">
        <v>38956</v>
      </c>
      <c r="E26">
        <f>(8*80/60)/E2</f>
        <v>0.26666666666666666</v>
      </c>
      <c r="H26">
        <f t="shared" si="2"/>
        <v>8.311666666666667</v>
      </c>
      <c r="I26">
        <f t="shared" si="0"/>
        <v>0</v>
      </c>
      <c r="J26">
        <f t="shared" si="1"/>
        <v>6</v>
      </c>
    </row>
    <row r="27" spans="1:10" ht="12.75">
      <c r="A27">
        <v>25</v>
      </c>
      <c r="B27" s="13">
        <v>38963</v>
      </c>
      <c r="E27">
        <f>1/E2</f>
        <v>0.025</v>
      </c>
      <c r="H27">
        <f t="shared" si="2"/>
        <v>8.336666666666668</v>
      </c>
      <c r="I27">
        <f t="shared" si="0"/>
        <v>0</v>
      </c>
      <c r="J27">
        <f t="shared" si="1"/>
        <v>6</v>
      </c>
    </row>
    <row r="28" spans="1:10" ht="12.75">
      <c r="A28">
        <v>26</v>
      </c>
      <c r="B28" s="13">
        <v>38970</v>
      </c>
      <c r="E28">
        <f>(7*62/60)/E2+1/E2</f>
        <v>0.20583333333333334</v>
      </c>
      <c r="H28">
        <f t="shared" si="2"/>
        <v>8.5425</v>
      </c>
      <c r="I28">
        <f t="shared" si="0"/>
        <v>0</v>
      </c>
      <c r="J28">
        <f t="shared" si="1"/>
        <v>6</v>
      </c>
    </row>
    <row r="29" spans="1:11" ht="12.75">
      <c r="A29">
        <v>27</v>
      </c>
      <c r="B29" s="13">
        <v>38977</v>
      </c>
      <c r="C29">
        <v>0.1</v>
      </c>
      <c r="D29">
        <v>38</v>
      </c>
      <c r="E29">
        <f>((35*2)+(11*31/60)+(4*48/60))/E2+3/E2+1/E2</f>
        <v>2.0720833333333335</v>
      </c>
      <c r="G29">
        <v>2</v>
      </c>
      <c r="H29">
        <f t="shared" si="2"/>
        <v>10.614583333333334</v>
      </c>
      <c r="I29">
        <f t="shared" si="0"/>
        <v>0</v>
      </c>
      <c r="J29">
        <f t="shared" si="1"/>
        <v>8</v>
      </c>
      <c r="K29" t="s">
        <v>18</v>
      </c>
    </row>
    <row r="30" spans="1:10" ht="12.75">
      <c r="A30">
        <v>28</v>
      </c>
      <c r="B30" s="13">
        <v>38984</v>
      </c>
      <c r="D30">
        <v>38</v>
      </c>
      <c r="E30">
        <f>(4*17/60)/E2</f>
        <v>0.028333333333333332</v>
      </c>
      <c r="H30">
        <f t="shared" si="2"/>
        <v>10.642916666666668</v>
      </c>
      <c r="I30">
        <f t="shared" si="0"/>
        <v>0</v>
      </c>
      <c r="J30">
        <f t="shared" si="1"/>
        <v>8</v>
      </c>
    </row>
    <row r="31" spans="1:10" ht="12.75">
      <c r="A31">
        <v>29</v>
      </c>
      <c r="B31" s="13">
        <v>38991</v>
      </c>
      <c r="D31">
        <v>38</v>
      </c>
      <c r="E31">
        <f>1/E2</f>
        <v>0.025</v>
      </c>
      <c r="H31">
        <f t="shared" si="2"/>
        <v>10.667916666666668</v>
      </c>
      <c r="I31">
        <f t="shared" si="0"/>
        <v>0</v>
      </c>
      <c r="J31">
        <f t="shared" si="1"/>
        <v>8</v>
      </c>
    </row>
    <row r="32" spans="1:10" ht="12.75">
      <c r="A32">
        <v>30</v>
      </c>
      <c r="B32" s="13">
        <v>38998</v>
      </c>
      <c r="D32">
        <v>38</v>
      </c>
      <c r="E32">
        <f>1/E2</f>
        <v>0.025</v>
      </c>
      <c r="H32">
        <f t="shared" si="2"/>
        <v>10.692916666666669</v>
      </c>
      <c r="I32">
        <f t="shared" si="0"/>
        <v>0</v>
      </c>
      <c r="J32">
        <f t="shared" si="1"/>
        <v>8</v>
      </c>
    </row>
    <row r="33" spans="1:10" ht="12.75">
      <c r="A33">
        <v>31</v>
      </c>
      <c r="B33" s="13">
        <v>39005</v>
      </c>
      <c r="D33">
        <v>38</v>
      </c>
      <c r="H33">
        <f t="shared" si="2"/>
        <v>10.692916666666669</v>
      </c>
      <c r="I33">
        <f t="shared" si="0"/>
        <v>0</v>
      </c>
      <c r="J33">
        <f t="shared" si="1"/>
        <v>8</v>
      </c>
    </row>
    <row r="34" spans="1:11" ht="12.75">
      <c r="A34">
        <v>32</v>
      </c>
      <c r="B34" s="13">
        <v>39012</v>
      </c>
      <c r="D34">
        <v>38</v>
      </c>
      <c r="E34">
        <f>(6*86/60)/E2</f>
        <v>0.215</v>
      </c>
      <c r="F34">
        <v>161</v>
      </c>
      <c r="G34">
        <v>1</v>
      </c>
      <c r="H34">
        <f t="shared" si="2"/>
        <v>10.907916666666669</v>
      </c>
      <c r="I34">
        <f t="shared" si="0"/>
        <v>161</v>
      </c>
      <c r="J34">
        <f t="shared" si="1"/>
        <v>9</v>
      </c>
      <c r="K34" t="s">
        <v>27</v>
      </c>
    </row>
    <row r="35" spans="1:10" ht="12.75">
      <c r="A35">
        <v>33</v>
      </c>
      <c r="B35" s="13">
        <v>39019</v>
      </c>
      <c r="D35">
        <v>38</v>
      </c>
      <c r="H35">
        <f t="shared" si="2"/>
        <v>10.907916666666669</v>
      </c>
      <c r="I35">
        <f t="shared" si="0"/>
        <v>161</v>
      </c>
      <c r="J35">
        <f t="shared" si="1"/>
        <v>9</v>
      </c>
    </row>
    <row r="36" spans="1:10" ht="12.75">
      <c r="A36">
        <v>34</v>
      </c>
      <c r="B36" s="13">
        <v>39026</v>
      </c>
      <c r="D36">
        <v>38</v>
      </c>
      <c r="E36">
        <f>(5*112/60)/E2+1/E2</f>
        <v>0.25833333333333336</v>
      </c>
      <c r="H36">
        <f t="shared" si="2"/>
        <v>11.166250000000002</v>
      </c>
      <c r="I36">
        <f t="shared" si="0"/>
        <v>161</v>
      </c>
      <c r="J36">
        <f t="shared" si="1"/>
        <v>9</v>
      </c>
    </row>
    <row r="37" spans="1:11" ht="12.75">
      <c r="A37">
        <v>35</v>
      </c>
      <c r="B37" s="13">
        <v>39033</v>
      </c>
      <c r="C37">
        <v>0.2</v>
      </c>
      <c r="D37">
        <v>58</v>
      </c>
      <c r="E37">
        <f>1/E2</f>
        <v>0.025</v>
      </c>
      <c r="G37">
        <v>3</v>
      </c>
      <c r="H37">
        <f t="shared" si="2"/>
        <v>11.191250000000002</v>
      </c>
      <c r="I37">
        <f t="shared" si="0"/>
        <v>161</v>
      </c>
      <c r="J37">
        <f t="shared" si="1"/>
        <v>12</v>
      </c>
      <c r="K37" t="s">
        <v>19</v>
      </c>
    </row>
    <row r="38" spans="1:10" ht="12.75">
      <c r="A38">
        <v>36</v>
      </c>
      <c r="B38" s="13">
        <v>39040</v>
      </c>
      <c r="C38">
        <v>1</v>
      </c>
      <c r="D38">
        <v>62</v>
      </c>
      <c r="E38">
        <f>((19*2)+(45*2)+(21*19/60))/E2+3/E2+1/E2</f>
        <v>3.46625</v>
      </c>
      <c r="H38">
        <f t="shared" si="2"/>
        <v>14.657500000000002</v>
      </c>
      <c r="I38">
        <f t="shared" si="0"/>
        <v>161</v>
      </c>
      <c r="J38">
        <f t="shared" si="1"/>
        <v>12</v>
      </c>
    </row>
    <row r="39" spans="1:10" ht="12.75">
      <c r="A39">
        <v>37</v>
      </c>
      <c r="B39" s="13">
        <v>39047</v>
      </c>
      <c r="D39">
        <v>62</v>
      </c>
      <c r="H39">
        <f t="shared" si="2"/>
        <v>14.657500000000002</v>
      </c>
      <c r="I39">
        <f t="shared" si="0"/>
        <v>161</v>
      </c>
      <c r="J39">
        <f t="shared" si="1"/>
        <v>12</v>
      </c>
    </row>
    <row r="40" spans="1:10" ht="12.75">
      <c r="A40">
        <v>38</v>
      </c>
      <c r="B40" s="13">
        <v>39054</v>
      </c>
      <c r="D40">
        <v>62</v>
      </c>
      <c r="E40">
        <f>(8*1.5)/E2+1/E2</f>
        <v>0.325</v>
      </c>
      <c r="H40">
        <f t="shared" si="2"/>
        <v>14.982500000000002</v>
      </c>
      <c r="I40">
        <f t="shared" si="0"/>
        <v>161</v>
      </c>
      <c r="J40">
        <f t="shared" si="1"/>
        <v>12</v>
      </c>
    </row>
    <row r="41" spans="1:10" ht="12.75">
      <c r="A41">
        <v>39</v>
      </c>
      <c r="B41" s="13">
        <v>39061</v>
      </c>
      <c r="D41">
        <v>62</v>
      </c>
      <c r="E41">
        <f>1/E2</f>
        <v>0.025</v>
      </c>
      <c r="H41">
        <f t="shared" si="2"/>
        <v>15.007500000000002</v>
      </c>
      <c r="I41">
        <f t="shared" si="0"/>
        <v>161</v>
      </c>
      <c r="J41">
        <f t="shared" si="1"/>
        <v>12</v>
      </c>
    </row>
    <row r="42" spans="1:10" ht="12.75">
      <c r="A42">
        <v>40</v>
      </c>
      <c r="B42" s="13">
        <v>39068</v>
      </c>
      <c r="D42">
        <v>62</v>
      </c>
      <c r="E42">
        <f>(6*24/60)/E2</f>
        <v>0.06</v>
      </c>
      <c r="H42">
        <f t="shared" si="2"/>
        <v>15.067500000000003</v>
      </c>
      <c r="I42">
        <f t="shared" si="0"/>
        <v>161</v>
      </c>
      <c r="J42">
        <f t="shared" si="1"/>
        <v>12</v>
      </c>
    </row>
    <row r="43" spans="1:10" ht="12.75">
      <c r="A43">
        <v>41</v>
      </c>
      <c r="B43" s="13">
        <v>39075</v>
      </c>
      <c r="D43">
        <v>62</v>
      </c>
      <c r="H43">
        <f t="shared" si="2"/>
        <v>15.067500000000003</v>
      </c>
      <c r="I43">
        <f t="shared" si="0"/>
        <v>161</v>
      </c>
      <c r="J43">
        <f t="shared" si="1"/>
        <v>12</v>
      </c>
    </row>
    <row r="44" spans="1:10" ht="12.75">
      <c r="A44">
        <v>42</v>
      </c>
      <c r="B44" s="13">
        <v>39082</v>
      </c>
      <c r="D44">
        <v>62</v>
      </c>
      <c r="E44">
        <f>(6*93/60)/E2</f>
        <v>0.2325</v>
      </c>
      <c r="H44">
        <f t="shared" si="2"/>
        <v>15.300000000000002</v>
      </c>
      <c r="I44">
        <f t="shared" si="0"/>
        <v>161</v>
      </c>
      <c r="J44">
        <f t="shared" si="1"/>
        <v>12</v>
      </c>
    </row>
    <row r="45" spans="1:11" ht="12.75">
      <c r="A45">
        <v>43</v>
      </c>
      <c r="B45" s="13">
        <v>39089</v>
      </c>
      <c r="D45">
        <v>62</v>
      </c>
      <c r="E45">
        <f>(10*96/60)/E2+1/E2</f>
        <v>0.42500000000000004</v>
      </c>
      <c r="F45">
        <v>695</v>
      </c>
      <c r="H45">
        <f t="shared" si="2"/>
        <v>15.725000000000003</v>
      </c>
      <c r="I45">
        <f t="shared" si="0"/>
        <v>856</v>
      </c>
      <c r="J45">
        <f t="shared" si="1"/>
        <v>12</v>
      </c>
      <c r="K45" t="s">
        <v>21</v>
      </c>
    </row>
    <row r="46" spans="1:10" ht="12.75">
      <c r="A46">
        <v>44</v>
      </c>
      <c r="B46" s="13">
        <v>39096</v>
      </c>
      <c r="D46">
        <v>62</v>
      </c>
      <c r="E46">
        <f>((18*2)+(12*124/60)+(19*73/60))/E2+3/E2+1/E2</f>
        <v>2.1979166666666665</v>
      </c>
      <c r="H46">
        <f t="shared" si="2"/>
        <v>17.92291666666667</v>
      </c>
      <c r="I46">
        <f t="shared" si="0"/>
        <v>856</v>
      </c>
      <c r="J46">
        <f t="shared" si="1"/>
        <v>12</v>
      </c>
    </row>
    <row r="47" spans="1:10" ht="12.75">
      <c r="A47">
        <v>45</v>
      </c>
      <c r="B47" s="13">
        <v>39103</v>
      </c>
      <c r="D47">
        <v>62</v>
      </c>
      <c r="H47">
        <f t="shared" si="2"/>
        <v>17.92291666666667</v>
      </c>
      <c r="I47">
        <f t="shared" si="0"/>
        <v>856</v>
      </c>
      <c r="J47">
        <f t="shared" si="1"/>
        <v>12</v>
      </c>
    </row>
    <row r="48" spans="1:10" ht="12.75">
      <c r="A48">
        <v>46</v>
      </c>
      <c r="B48" s="13">
        <v>39110</v>
      </c>
      <c r="D48">
        <v>62</v>
      </c>
      <c r="E48">
        <f>11/E2+1/E2</f>
        <v>0.30000000000000004</v>
      </c>
      <c r="H48">
        <f t="shared" si="2"/>
        <v>18.22291666666667</v>
      </c>
      <c r="I48">
        <f t="shared" si="0"/>
        <v>856</v>
      </c>
      <c r="J48">
        <f t="shared" si="1"/>
        <v>12</v>
      </c>
    </row>
    <row r="49" spans="1:10" ht="12.75">
      <c r="A49">
        <v>47</v>
      </c>
      <c r="B49" s="13">
        <v>39117</v>
      </c>
      <c r="D49">
        <v>62</v>
      </c>
      <c r="E49">
        <f>1/E2</f>
        <v>0.025</v>
      </c>
      <c r="H49">
        <f t="shared" si="2"/>
        <v>18.24791666666667</v>
      </c>
      <c r="I49">
        <f t="shared" si="0"/>
        <v>856</v>
      </c>
      <c r="J49">
        <f t="shared" si="1"/>
        <v>12</v>
      </c>
    </row>
    <row r="50" spans="1:10" ht="12.75">
      <c r="A50">
        <v>48</v>
      </c>
      <c r="B50" s="13">
        <v>39124</v>
      </c>
      <c r="D50">
        <v>62</v>
      </c>
      <c r="E50">
        <f>(9*90/60)/E2</f>
        <v>0.3375</v>
      </c>
      <c r="G50">
        <v>2</v>
      </c>
      <c r="H50">
        <f t="shared" si="2"/>
        <v>18.585416666666667</v>
      </c>
      <c r="I50">
        <f t="shared" si="0"/>
        <v>856</v>
      </c>
      <c r="J50">
        <f t="shared" si="1"/>
        <v>14</v>
      </c>
    </row>
    <row r="51" spans="1:10" ht="12.75">
      <c r="A51">
        <v>49</v>
      </c>
      <c r="B51" s="13">
        <v>39131</v>
      </c>
      <c r="D51">
        <v>62</v>
      </c>
      <c r="G51">
        <v>2</v>
      </c>
      <c r="H51">
        <f t="shared" si="2"/>
        <v>18.585416666666667</v>
      </c>
      <c r="I51">
        <f t="shared" si="0"/>
        <v>856</v>
      </c>
      <c r="J51">
        <f t="shared" si="1"/>
        <v>16</v>
      </c>
    </row>
    <row r="52" spans="1:10" ht="12.75">
      <c r="A52">
        <v>50</v>
      </c>
      <c r="B52" s="13">
        <v>39138</v>
      </c>
      <c r="D52">
        <v>62</v>
      </c>
      <c r="E52">
        <f>(8*112/60)/E2+1/E2</f>
        <v>0.3983333333333334</v>
      </c>
      <c r="G52">
        <v>2</v>
      </c>
      <c r="H52">
        <f t="shared" si="2"/>
        <v>18.98375</v>
      </c>
      <c r="I52">
        <f t="shared" si="0"/>
        <v>856</v>
      </c>
      <c r="J52">
        <f t="shared" si="1"/>
        <v>18</v>
      </c>
    </row>
    <row r="53" spans="1:10" ht="12.75">
      <c r="A53">
        <v>51</v>
      </c>
      <c r="B53" s="13">
        <v>39145</v>
      </c>
      <c r="D53">
        <v>62</v>
      </c>
      <c r="E53">
        <f>(5*121/60)/E2+1/E2</f>
        <v>0.27708333333333335</v>
      </c>
      <c r="H53">
        <f t="shared" si="2"/>
        <v>19.260833333333334</v>
      </c>
      <c r="I53">
        <f t="shared" si="0"/>
        <v>856</v>
      </c>
      <c r="J53">
        <f t="shared" si="1"/>
        <v>18</v>
      </c>
    </row>
    <row r="54" spans="1:10" ht="12.75">
      <c r="A54">
        <v>52</v>
      </c>
      <c r="B54" s="13">
        <v>39152</v>
      </c>
      <c r="C54">
        <v>1.2</v>
      </c>
      <c r="D54">
        <v>57</v>
      </c>
      <c r="E54">
        <f>((17*74/60)+(46*125/60)+(8*23/60))/E2+3/E2+1/E2</f>
        <v>3.0966666666666667</v>
      </c>
      <c r="G54">
        <v>2</v>
      </c>
      <c r="H54">
        <f t="shared" si="2"/>
        <v>22.3575</v>
      </c>
      <c r="I54">
        <f t="shared" si="0"/>
        <v>856</v>
      </c>
      <c r="J54">
        <f t="shared" si="1"/>
        <v>20</v>
      </c>
    </row>
    <row r="55" spans="1:10" ht="12.75">
      <c r="A55">
        <v>53</v>
      </c>
      <c r="B55" s="13">
        <v>39159</v>
      </c>
      <c r="D55">
        <v>57</v>
      </c>
      <c r="H55">
        <f t="shared" si="2"/>
        <v>22.3575</v>
      </c>
      <c r="I55">
        <f t="shared" si="0"/>
        <v>856</v>
      </c>
      <c r="J55">
        <f t="shared" si="1"/>
        <v>20</v>
      </c>
    </row>
    <row r="56" spans="1:10" ht="12.75">
      <c r="A56">
        <v>54</v>
      </c>
      <c r="B56" s="13">
        <v>39166</v>
      </c>
      <c r="C56">
        <v>2</v>
      </c>
      <c r="D56">
        <v>57</v>
      </c>
      <c r="H56">
        <f t="shared" si="2"/>
        <v>22.3575</v>
      </c>
      <c r="I56">
        <f t="shared" si="0"/>
        <v>856</v>
      </c>
      <c r="J56">
        <f t="shared" si="1"/>
        <v>20</v>
      </c>
    </row>
    <row r="57" spans="1:10" ht="12.75">
      <c r="A57">
        <v>55</v>
      </c>
      <c r="B57" s="13">
        <v>39173</v>
      </c>
      <c r="D57">
        <v>57</v>
      </c>
      <c r="E57">
        <f>1/E2</f>
        <v>0.025</v>
      </c>
      <c r="G57">
        <v>1</v>
      </c>
      <c r="H57">
        <f t="shared" si="2"/>
        <v>22.3825</v>
      </c>
      <c r="I57">
        <f t="shared" si="0"/>
        <v>856</v>
      </c>
      <c r="J57">
        <f t="shared" si="1"/>
        <v>21</v>
      </c>
    </row>
    <row r="58" spans="1:10" ht="12.75">
      <c r="A58">
        <v>56</v>
      </c>
      <c r="B58" s="13">
        <v>39180</v>
      </c>
      <c r="D58">
        <v>57</v>
      </c>
      <c r="E58">
        <f>1/E2</f>
        <v>0.025</v>
      </c>
      <c r="G58">
        <v>2</v>
      </c>
      <c r="H58">
        <f t="shared" si="2"/>
        <v>22.4075</v>
      </c>
      <c r="I58">
        <f t="shared" si="0"/>
        <v>856</v>
      </c>
      <c r="J58">
        <f t="shared" si="1"/>
        <v>23</v>
      </c>
    </row>
    <row r="59" spans="1:10" ht="12.75">
      <c r="A59">
        <v>57</v>
      </c>
      <c r="B59" s="13">
        <v>39187</v>
      </c>
      <c r="D59">
        <v>57</v>
      </c>
      <c r="G59">
        <v>1</v>
      </c>
      <c r="H59">
        <f t="shared" si="2"/>
        <v>22.4075</v>
      </c>
      <c r="I59">
        <f t="shared" si="0"/>
        <v>856</v>
      </c>
      <c r="J59">
        <f t="shared" si="1"/>
        <v>24</v>
      </c>
    </row>
    <row r="60" spans="1:10" ht="12.75">
      <c r="A60">
        <v>58</v>
      </c>
      <c r="B60" s="13">
        <v>39194</v>
      </c>
      <c r="D60">
        <v>57</v>
      </c>
      <c r="H60">
        <f t="shared" si="2"/>
        <v>22.4075</v>
      </c>
      <c r="I60">
        <f t="shared" si="0"/>
        <v>856</v>
      </c>
      <c r="J60">
        <f t="shared" si="1"/>
        <v>24</v>
      </c>
    </row>
    <row r="61" spans="1:11" ht="12.75">
      <c r="A61">
        <v>59</v>
      </c>
      <c r="B61" s="13">
        <v>39201</v>
      </c>
      <c r="D61">
        <v>57</v>
      </c>
      <c r="E61">
        <f>(6*30/60)/E2+1/E2</f>
        <v>0.1</v>
      </c>
      <c r="F61">
        <v>265</v>
      </c>
      <c r="H61">
        <f t="shared" si="2"/>
        <v>22.5075</v>
      </c>
      <c r="I61">
        <f t="shared" si="0"/>
        <v>1121</v>
      </c>
      <c r="J61">
        <f t="shared" si="1"/>
        <v>24</v>
      </c>
      <c r="K61" t="s">
        <v>22</v>
      </c>
    </row>
    <row r="62" spans="1:10" ht="12.75">
      <c r="A62">
        <v>60</v>
      </c>
      <c r="B62" s="13">
        <v>39208</v>
      </c>
      <c r="D62">
        <v>57</v>
      </c>
      <c r="E62">
        <f>(6*75/60)/E2+1/E2</f>
        <v>0.2125</v>
      </c>
      <c r="H62">
        <f t="shared" si="2"/>
        <v>22.72</v>
      </c>
      <c r="I62">
        <f t="shared" si="0"/>
        <v>1121</v>
      </c>
      <c r="J62">
        <f t="shared" si="1"/>
        <v>24</v>
      </c>
    </row>
    <row r="63" spans="1:10" ht="12.75">
      <c r="A63">
        <v>61</v>
      </c>
      <c r="B63" s="13">
        <v>39215</v>
      </c>
      <c r="D63">
        <v>57</v>
      </c>
      <c r="E63">
        <f>((14*108/60)+(20*132/60)+(9*100/60)+(5*15/60))/E2+3/E2+1/E2</f>
        <v>2.23625</v>
      </c>
      <c r="H63">
        <f t="shared" si="2"/>
        <v>24.956249999999997</v>
      </c>
      <c r="I63">
        <f t="shared" si="0"/>
        <v>1121</v>
      </c>
      <c r="J63">
        <f t="shared" si="1"/>
        <v>24</v>
      </c>
    </row>
    <row r="64" spans="1:10" ht="12.75">
      <c r="A64">
        <v>62</v>
      </c>
      <c r="B64" s="13">
        <v>39222</v>
      </c>
      <c r="D64">
        <v>57</v>
      </c>
      <c r="H64">
        <f t="shared" si="2"/>
        <v>24.956249999999997</v>
      </c>
      <c r="I64">
        <f t="shared" si="0"/>
        <v>1121</v>
      </c>
      <c r="J64">
        <f t="shared" si="1"/>
        <v>24</v>
      </c>
    </row>
    <row r="65" spans="1:10" ht="12.75">
      <c r="A65">
        <v>63</v>
      </c>
      <c r="B65" s="13">
        <v>39229</v>
      </c>
      <c r="D65">
        <v>57</v>
      </c>
      <c r="E65">
        <f>1/E2</f>
        <v>0.025</v>
      </c>
      <c r="H65">
        <f t="shared" si="2"/>
        <v>24.981249999999996</v>
      </c>
      <c r="I65">
        <f t="shared" si="0"/>
        <v>1121</v>
      </c>
      <c r="J65">
        <f t="shared" si="1"/>
        <v>24</v>
      </c>
    </row>
    <row r="66" spans="1:10" ht="12.75">
      <c r="A66">
        <v>64</v>
      </c>
      <c r="B66" s="13">
        <v>39236</v>
      </c>
      <c r="C66">
        <v>3</v>
      </c>
      <c r="D66">
        <v>55</v>
      </c>
      <c r="E66">
        <f>(3*100/60)/E2+1/E2</f>
        <v>0.15</v>
      </c>
      <c r="H66">
        <f t="shared" si="2"/>
        <v>25.131249999999994</v>
      </c>
      <c r="I66">
        <f t="shared" si="0"/>
        <v>1121</v>
      </c>
      <c r="J66">
        <f t="shared" si="1"/>
        <v>24</v>
      </c>
    </row>
    <row r="67" spans="1:10" ht="12.75">
      <c r="A67">
        <v>65</v>
      </c>
      <c r="B67" s="13">
        <v>39243</v>
      </c>
      <c r="D67">
        <v>55</v>
      </c>
      <c r="H67">
        <f t="shared" si="2"/>
        <v>25.131249999999994</v>
      </c>
      <c r="I67">
        <f t="shared" si="0"/>
        <v>1121</v>
      </c>
      <c r="J67">
        <f t="shared" si="1"/>
        <v>24</v>
      </c>
    </row>
    <row r="68" spans="1:11" ht="12.75">
      <c r="A68">
        <v>66</v>
      </c>
      <c r="B68" s="13">
        <v>39250</v>
      </c>
      <c r="D68">
        <v>55</v>
      </c>
      <c r="F68">
        <v>77</v>
      </c>
      <c r="H68">
        <f t="shared" si="2"/>
        <v>25.131249999999994</v>
      </c>
      <c r="I68">
        <f aca="true" t="shared" si="3" ref="I68:J123">I67+F68</f>
        <v>1198</v>
      </c>
      <c r="J68">
        <f t="shared" si="3"/>
        <v>24</v>
      </c>
      <c r="K68" t="s">
        <v>23</v>
      </c>
    </row>
    <row r="69" spans="1:10" ht="12.75">
      <c r="A69">
        <v>67</v>
      </c>
      <c r="B69" s="13">
        <v>39257</v>
      </c>
      <c r="D69">
        <v>55</v>
      </c>
      <c r="E69">
        <f>(8*80/60)/E2</f>
        <v>0.26666666666666666</v>
      </c>
      <c r="H69">
        <f t="shared" si="2"/>
        <v>25.39791666666666</v>
      </c>
      <c r="I69">
        <f t="shared" si="3"/>
        <v>1198</v>
      </c>
      <c r="J69">
        <f t="shared" si="3"/>
        <v>24</v>
      </c>
    </row>
    <row r="70" spans="1:10" ht="12.75">
      <c r="A70">
        <v>68</v>
      </c>
      <c r="B70" s="13">
        <v>39264</v>
      </c>
      <c r="D70">
        <v>55</v>
      </c>
      <c r="E70">
        <f>(7*69/60)/E2+1/E2</f>
        <v>0.22625</v>
      </c>
      <c r="G70">
        <v>2</v>
      </c>
      <c r="H70">
        <f t="shared" si="2"/>
        <v>25.62416666666666</v>
      </c>
      <c r="I70">
        <f t="shared" si="3"/>
        <v>1198</v>
      </c>
      <c r="J70">
        <f t="shared" si="3"/>
        <v>26</v>
      </c>
    </row>
    <row r="71" spans="1:10" ht="12.75">
      <c r="A71">
        <v>69</v>
      </c>
      <c r="B71" s="13">
        <v>39271</v>
      </c>
      <c r="D71">
        <v>55</v>
      </c>
      <c r="E71">
        <f>(8*72/60)/E2+1/E2</f>
        <v>0.265</v>
      </c>
      <c r="G71">
        <v>2</v>
      </c>
      <c r="H71">
        <f t="shared" si="2"/>
        <v>25.88916666666666</v>
      </c>
      <c r="I71">
        <f t="shared" si="3"/>
        <v>1198</v>
      </c>
      <c r="J71">
        <f t="shared" si="3"/>
        <v>28</v>
      </c>
    </row>
    <row r="72" spans="1:10" ht="12.75">
      <c r="A72">
        <v>70</v>
      </c>
      <c r="B72" s="13">
        <v>39278</v>
      </c>
      <c r="C72">
        <v>4</v>
      </c>
      <c r="D72">
        <v>70</v>
      </c>
      <c r="E72">
        <f>((12*30/60)+(11*15/60))/E2+3/E2+1/E2</f>
        <v>0.31875000000000003</v>
      </c>
      <c r="G72">
        <v>1</v>
      </c>
      <c r="H72">
        <f aca="true" t="shared" si="4" ref="H72:H103">H71+E72</f>
        <v>26.207916666666662</v>
      </c>
      <c r="I72">
        <f t="shared" si="3"/>
        <v>1198</v>
      </c>
      <c r="J72">
        <f t="shared" si="3"/>
        <v>29</v>
      </c>
    </row>
    <row r="73" spans="1:10" ht="12.75">
      <c r="A73">
        <v>71</v>
      </c>
      <c r="B73" s="13">
        <v>39285</v>
      </c>
      <c r="D73">
        <v>70</v>
      </c>
      <c r="H73">
        <f t="shared" si="4"/>
        <v>26.207916666666662</v>
      </c>
      <c r="I73">
        <f t="shared" si="3"/>
        <v>1198</v>
      </c>
      <c r="J73">
        <f t="shared" si="3"/>
        <v>29</v>
      </c>
    </row>
    <row r="74" spans="1:10" ht="12.75">
      <c r="A74">
        <v>72</v>
      </c>
      <c r="B74" s="13">
        <v>39292</v>
      </c>
      <c r="D74">
        <v>70</v>
      </c>
      <c r="E74">
        <f>1/E2</f>
        <v>0.025</v>
      </c>
      <c r="H74">
        <f t="shared" si="4"/>
        <v>26.23291666666666</v>
      </c>
      <c r="I74">
        <f t="shared" si="3"/>
        <v>1198</v>
      </c>
      <c r="J74">
        <f t="shared" si="3"/>
        <v>29</v>
      </c>
    </row>
    <row r="75" spans="1:10" ht="12.75">
      <c r="A75">
        <v>73</v>
      </c>
      <c r="B75" s="13">
        <v>39299</v>
      </c>
      <c r="D75">
        <v>70</v>
      </c>
      <c r="E75">
        <f>1/E2</f>
        <v>0.025</v>
      </c>
      <c r="H75">
        <f t="shared" si="4"/>
        <v>26.25791666666666</v>
      </c>
      <c r="I75">
        <f t="shared" si="3"/>
        <v>1198</v>
      </c>
      <c r="J75">
        <f t="shared" si="3"/>
        <v>29</v>
      </c>
    </row>
    <row r="76" spans="1:10" ht="12.75">
      <c r="A76">
        <v>74</v>
      </c>
      <c r="B76" s="13">
        <v>39306</v>
      </c>
      <c r="D76">
        <v>70</v>
      </c>
      <c r="H76">
        <f t="shared" si="4"/>
        <v>26.25791666666666</v>
      </c>
      <c r="I76">
        <f t="shared" si="3"/>
        <v>1198</v>
      </c>
      <c r="J76">
        <f t="shared" si="3"/>
        <v>29</v>
      </c>
    </row>
    <row r="77" spans="1:11" ht="12.75">
      <c r="A77">
        <v>75</v>
      </c>
      <c r="B77" s="13">
        <v>39313</v>
      </c>
      <c r="D77">
        <v>70</v>
      </c>
      <c r="F77">
        <v>189</v>
      </c>
      <c r="H77">
        <f t="shared" si="4"/>
        <v>26.25791666666666</v>
      </c>
      <c r="I77">
        <f t="shared" si="3"/>
        <v>1387</v>
      </c>
      <c r="J77">
        <f t="shared" si="3"/>
        <v>29</v>
      </c>
      <c r="K77" t="s">
        <v>24</v>
      </c>
    </row>
    <row r="78" spans="1:10" ht="12.75">
      <c r="A78">
        <v>76</v>
      </c>
      <c r="B78" s="13">
        <v>39320</v>
      </c>
      <c r="D78">
        <v>70</v>
      </c>
      <c r="E78">
        <f>(5*52/60)/E2</f>
        <v>0.10833333333333332</v>
      </c>
      <c r="H78">
        <f t="shared" si="4"/>
        <v>26.366249999999994</v>
      </c>
      <c r="I78">
        <f t="shared" si="3"/>
        <v>1387</v>
      </c>
      <c r="J78">
        <f t="shared" si="3"/>
        <v>29</v>
      </c>
    </row>
    <row r="79" spans="1:10" ht="12.75">
      <c r="A79">
        <v>77</v>
      </c>
      <c r="B79" s="13">
        <v>39327</v>
      </c>
      <c r="D79">
        <v>70</v>
      </c>
      <c r="E79">
        <f>(8*78/60)/E2+1/E2</f>
        <v>0.28500000000000003</v>
      </c>
      <c r="G79">
        <v>2</v>
      </c>
      <c r="H79">
        <f t="shared" si="4"/>
        <v>26.651249999999994</v>
      </c>
      <c r="I79">
        <f t="shared" si="3"/>
        <v>1387</v>
      </c>
      <c r="J79">
        <f t="shared" si="3"/>
        <v>31</v>
      </c>
    </row>
    <row r="80" spans="1:10" ht="12.75">
      <c r="A80">
        <v>78</v>
      </c>
      <c r="B80" s="13">
        <v>39334</v>
      </c>
      <c r="D80">
        <v>70</v>
      </c>
      <c r="E80">
        <f>1/E2</f>
        <v>0.025</v>
      </c>
      <c r="G80">
        <v>1</v>
      </c>
      <c r="H80">
        <f t="shared" si="4"/>
        <v>26.676249999999992</v>
      </c>
      <c r="I80">
        <f t="shared" si="3"/>
        <v>1387</v>
      </c>
      <c r="J80">
        <f t="shared" si="3"/>
        <v>32</v>
      </c>
    </row>
    <row r="81" spans="1:10" ht="12.75">
      <c r="A81">
        <v>79</v>
      </c>
      <c r="B81" s="13">
        <v>39341</v>
      </c>
      <c r="C81">
        <v>5</v>
      </c>
      <c r="D81">
        <v>73</v>
      </c>
      <c r="E81">
        <f>((17*96/60)+(9*6/60))/E2+3/E2+1/E2</f>
        <v>0.8024999999999999</v>
      </c>
      <c r="G81">
        <v>2</v>
      </c>
      <c r="H81">
        <f t="shared" si="4"/>
        <v>27.47874999999999</v>
      </c>
      <c r="I81">
        <f t="shared" si="3"/>
        <v>1387</v>
      </c>
      <c r="J81">
        <f t="shared" si="3"/>
        <v>34</v>
      </c>
    </row>
    <row r="82" spans="1:10" ht="12.75">
      <c r="A82">
        <v>80</v>
      </c>
      <c r="B82" s="13">
        <v>39348</v>
      </c>
      <c r="D82">
        <v>73</v>
      </c>
      <c r="H82">
        <f t="shared" si="4"/>
        <v>27.47874999999999</v>
      </c>
      <c r="I82">
        <f t="shared" si="3"/>
        <v>1387</v>
      </c>
      <c r="J82">
        <f t="shared" si="3"/>
        <v>34</v>
      </c>
    </row>
    <row r="83" spans="1:10" ht="12.75">
      <c r="A83">
        <v>81</v>
      </c>
      <c r="B83" s="13">
        <v>39355</v>
      </c>
      <c r="D83">
        <v>73</v>
      </c>
      <c r="E83">
        <f>1/E2</f>
        <v>0.025</v>
      </c>
      <c r="H83">
        <f t="shared" si="4"/>
        <v>27.50374999999999</v>
      </c>
      <c r="I83">
        <f t="shared" si="3"/>
        <v>1387</v>
      </c>
      <c r="J83">
        <f t="shared" si="3"/>
        <v>34</v>
      </c>
    </row>
    <row r="84" spans="1:11" ht="12.75">
      <c r="A84">
        <v>82</v>
      </c>
      <c r="B84" s="13">
        <v>39362</v>
      </c>
      <c r="D84">
        <v>73</v>
      </c>
      <c r="E84">
        <f>1/E2</f>
        <v>0.025</v>
      </c>
      <c r="F84">
        <v>42</v>
      </c>
      <c r="H84">
        <f t="shared" si="4"/>
        <v>27.528749999999988</v>
      </c>
      <c r="I84">
        <f t="shared" si="3"/>
        <v>1429</v>
      </c>
      <c r="J84">
        <f t="shared" si="3"/>
        <v>34</v>
      </c>
      <c r="K84" t="s">
        <v>25</v>
      </c>
    </row>
    <row r="85" spans="1:10" ht="12.75">
      <c r="A85">
        <v>83</v>
      </c>
      <c r="B85" s="13">
        <v>39369</v>
      </c>
      <c r="D85">
        <v>73</v>
      </c>
      <c r="E85">
        <f>(8*50/60)/E2</f>
        <v>0.16666666666666669</v>
      </c>
      <c r="H85">
        <f t="shared" si="4"/>
        <v>27.695416666666656</v>
      </c>
      <c r="I85">
        <f t="shared" si="3"/>
        <v>1429</v>
      </c>
      <c r="J85">
        <f t="shared" si="3"/>
        <v>34</v>
      </c>
    </row>
    <row r="86" spans="1:10" ht="12.75">
      <c r="A86">
        <v>84</v>
      </c>
      <c r="B86" s="13">
        <v>39376</v>
      </c>
      <c r="D86">
        <v>73</v>
      </c>
      <c r="E86">
        <f>(5*72/60)/E2</f>
        <v>0.15</v>
      </c>
      <c r="G86">
        <v>1</v>
      </c>
      <c r="H86">
        <f t="shared" si="4"/>
        <v>27.845416666666654</v>
      </c>
      <c r="I86">
        <f t="shared" si="3"/>
        <v>1429</v>
      </c>
      <c r="J86">
        <f t="shared" si="3"/>
        <v>35</v>
      </c>
    </row>
    <row r="87" spans="1:10" ht="12.75">
      <c r="A87">
        <v>85</v>
      </c>
      <c r="B87" s="13">
        <v>39383</v>
      </c>
      <c r="D87">
        <v>73</v>
      </c>
      <c r="E87">
        <f>(6*29/60)/E2+1/E2</f>
        <v>0.0975</v>
      </c>
      <c r="G87">
        <v>1</v>
      </c>
      <c r="H87">
        <f t="shared" si="4"/>
        <v>27.942916666666655</v>
      </c>
      <c r="I87">
        <f t="shared" si="3"/>
        <v>1429</v>
      </c>
      <c r="J87">
        <f t="shared" si="3"/>
        <v>36</v>
      </c>
    </row>
    <row r="88" spans="1:10" ht="12.75">
      <c r="A88">
        <v>86</v>
      </c>
      <c r="B88" s="13">
        <v>39390</v>
      </c>
      <c r="D88">
        <v>73</v>
      </c>
      <c r="E88">
        <f>(5*35/60)/E2+1/E2</f>
        <v>0.09791666666666665</v>
      </c>
      <c r="H88">
        <f t="shared" si="4"/>
        <v>28.04083333333332</v>
      </c>
      <c r="I88">
        <f t="shared" si="3"/>
        <v>1429</v>
      </c>
      <c r="J88">
        <f t="shared" si="3"/>
        <v>36</v>
      </c>
    </row>
    <row r="89" spans="1:10" ht="12.75">
      <c r="A89">
        <v>87</v>
      </c>
      <c r="B89" s="13">
        <v>39397</v>
      </c>
      <c r="C89">
        <v>6</v>
      </c>
      <c r="D89">
        <v>71</v>
      </c>
      <c r="E89">
        <f>((10*80/60)+(6*11/60))/E2+3/E2+1/E2</f>
        <v>0.4608333333333334</v>
      </c>
      <c r="G89">
        <v>1</v>
      </c>
      <c r="H89">
        <f t="shared" si="4"/>
        <v>28.501666666666654</v>
      </c>
      <c r="I89">
        <f t="shared" si="3"/>
        <v>1429</v>
      </c>
      <c r="J89">
        <f t="shared" si="3"/>
        <v>37</v>
      </c>
    </row>
    <row r="90" spans="1:10" ht="12.75">
      <c r="A90">
        <v>88</v>
      </c>
      <c r="B90" s="13">
        <v>39404</v>
      </c>
      <c r="D90">
        <v>71</v>
      </c>
      <c r="H90">
        <f t="shared" si="4"/>
        <v>28.501666666666654</v>
      </c>
      <c r="I90">
        <f t="shared" si="3"/>
        <v>1429</v>
      </c>
      <c r="J90">
        <f t="shared" si="3"/>
        <v>37</v>
      </c>
    </row>
    <row r="91" spans="1:10" ht="12.75">
      <c r="A91">
        <v>89</v>
      </c>
      <c r="B91" s="13">
        <v>39411</v>
      </c>
      <c r="D91">
        <v>71</v>
      </c>
      <c r="H91">
        <f t="shared" si="4"/>
        <v>28.501666666666654</v>
      </c>
      <c r="I91">
        <f t="shared" si="3"/>
        <v>1429</v>
      </c>
      <c r="J91">
        <f t="shared" si="3"/>
        <v>37</v>
      </c>
    </row>
    <row r="92" spans="1:11" ht="12.75">
      <c r="A92">
        <v>90</v>
      </c>
      <c r="B92" s="13">
        <v>39418</v>
      </c>
      <c r="D92">
        <v>71</v>
      </c>
      <c r="E92">
        <f>1/E2</f>
        <v>0.025</v>
      </c>
      <c r="F92">
        <v>36</v>
      </c>
      <c r="H92">
        <f t="shared" si="4"/>
        <v>28.526666666666653</v>
      </c>
      <c r="I92">
        <f t="shared" si="3"/>
        <v>1465</v>
      </c>
      <c r="J92">
        <f t="shared" si="3"/>
        <v>37</v>
      </c>
      <c r="K92" t="s">
        <v>26</v>
      </c>
    </row>
    <row r="93" spans="1:10" ht="12.75">
      <c r="A93">
        <v>91</v>
      </c>
      <c r="B93" s="13">
        <v>39425</v>
      </c>
      <c r="D93">
        <v>71</v>
      </c>
      <c r="E93">
        <f>(6*41/60)/E2+1/E2</f>
        <v>0.1275</v>
      </c>
      <c r="G93">
        <v>1</v>
      </c>
      <c r="H93">
        <f t="shared" si="4"/>
        <v>28.654166666666654</v>
      </c>
      <c r="I93">
        <f t="shared" si="3"/>
        <v>1465</v>
      </c>
      <c r="J93">
        <f t="shared" si="3"/>
        <v>38</v>
      </c>
    </row>
    <row r="94" spans="1:10" ht="12.75">
      <c r="A94">
        <v>92</v>
      </c>
      <c r="B94" s="13">
        <v>39432</v>
      </c>
      <c r="C94">
        <v>7</v>
      </c>
      <c r="D94">
        <v>67</v>
      </c>
      <c r="H94">
        <f t="shared" si="4"/>
        <v>28.654166666666654</v>
      </c>
      <c r="I94">
        <f t="shared" si="3"/>
        <v>1465</v>
      </c>
      <c r="J94">
        <f t="shared" si="3"/>
        <v>38</v>
      </c>
    </row>
    <row r="95" spans="1:10" ht="12.75">
      <c r="A95">
        <v>93</v>
      </c>
      <c r="B95" s="13">
        <v>39439</v>
      </c>
      <c r="D95">
        <v>67</v>
      </c>
      <c r="H95">
        <f t="shared" si="4"/>
        <v>28.654166666666654</v>
      </c>
      <c r="I95">
        <f t="shared" si="3"/>
        <v>1465</v>
      </c>
      <c r="J95">
        <f t="shared" si="3"/>
        <v>38</v>
      </c>
    </row>
    <row r="96" spans="1:10" ht="12.75">
      <c r="A96">
        <v>94</v>
      </c>
      <c r="B96" s="13">
        <v>39446</v>
      </c>
      <c r="D96">
        <v>67</v>
      </c>
      <c r="H96">
        <f t="shared" si="4"/>
        <v>28.654166666666654</v>
      </c>
      <c r="I96">
        <f t="shared" si="3"/>
        <v>1465</v>
      </c>
      <c r="J96">
        <f t="shared" si="3"/>
        <v>38</v>
      </c>
    </row>
    <row r="97" spans="1:10" ht="12.75">
      <c r="A97">
        <v>95</v>
      </c>
      <c r="B97" s="13">
        <v>39453</v>
      </c>
      <c r="D97">
        <v>67</v>
      </c>
      <c r="E97">
        <f>1/E2</f>
        <v>0.025</v>
      </c>
      <c r="H97">
        <f t="shared" si="4"/>
        <v>28.679166666666653</v>
      </c>
      <c r="I97">
        <f t="shared" si="3"/>
        <v>1465</v>
      </c>
      <c r="J97">
        <f t="shared" si="3"/>
        <v>38</v>
      </c>
    </row>
    <row r="98" spans="1:10" ht="12.75">
      <c r="A98">
        <v>96</v>
      </c>
      <c r="B98" s="13">
        <v>39460</v>
      </c>
      <c r="D98">
        <v>67</v>
      </c>
      <c r="E98">
        <f>(6*19/60)/E2+3/E2+1/E2</f>
        <v>0.1475</v>
      </c>
      <c r="H98">
        <f t="shared" si="4"/>
        <v>28.826666666666654</v>
      </c>
      <c r="I98">
        <f t="shared" si="3"/>
        <v>1465</v>
      </c>
      <c r="J98">
        <f t="shared" si="3"/>
        <v>38</v>
      </c>
    </row>
    <row r="99" spans="1:10" ht="12.75">
      <c r="A99">
        <v>97</v>
      </c>
      <c r="B99" s="13">
        <v>39467</v>
      </c>
      <c r="D99">
        <v>67</v>
      </c>
      <c r="H99">
        <f t="shared" si="4"/>
        <v>28.826666666666654</v>
      </c>
      <c r="I99">
        <f t="shared" si="3"/>
        <v>1465</v>
      </c>
      <c r="J99">
        <f t="shared" si="3"/>
        <v>38</v>
      </c>
    </row>
    <row r="100" spans="1:11" ht="12.75">
      <c r="A100">
        <v>98</v>
      </c>
      <c r="B100" s="13">
        <v>39474</v>
      </c>
      <c r="D100">
        <v>67</v>
      </c>
      <c r="E100">
        <f>1/E2</f>
        <v>0.025</v>
      </c>
      <c r="F100">
        <v>146</v>
      </c>
      <c r="H100">
        <f t="shared" si="4"/>
        <v>28.851666666666652</v>
      </c>
      <c r="I100">
        <f t="shared" si="3"/>
        <v>1611</v>
      </c>
      <c r="J100">
        <f t="shared" si="3"/>
        <v>38</v>
      </c>
      <c r="K100" t="s">
        <v>43</v>
      </c>
    </row>
    <row r="101" spans="1:10" ht="12.75">
      <c r="A101">
        <v>99</v>
      </c>
      <c r="B101" s="13">
        <v>39481</v>
      </c>
      <c r="D101">
        <v>67</v>
      </c>
      <c r="E101">
        <f>(6*1.5+0.5)/E2+1/E2</f>
        <v>0.2625</v>
      </c>
      <c r="H101">
        <f t="shared" si="4"/>
        <v>29.11416666666665</v>
      </c>
      <c r="I101">
        <f t="shared" si="3"/>
        <v>1611</v>
      </c>
      <c r="J101">
        <f t="shared" si="3"/>
        <v>38</v>
      </c>
    </row>
    <row r="102" spans="1:10" ht="12.75">
      <c r="A102">
        <v>100</v>
      </c>
      <c r="B102" s="13">
        <v>39488</v>
      </c>
      <c r="D102">
        <v>67</v>
      </c>
      <c r="E102">
        <f>50/60/E2</f>
        <v>0.020833333333333336</v>
      </c>
      <c r="H102">
        <f t="shared" si="4"/>
        <v>29.134999999999984</v>
      </c>
      <c r="I102">
        <f t="shared" si="3"/>
        <v>1611</v>
      </c>
      <c r="J102">
        <f t="shared" si="3"/>
        <v>38</v>
      </c>
    </row>
    <row r="103" spans="1:10" ht="12.75">
      <c r="A103">
        <v>101</v>
      </c>
      <c r="B103" s="13">
        <v>39495</v>
      </c>
      <c r="D103">
        <v>67</v>
      </c>
      <c r="E103">
        <f>6*(47/60)/E2</f>
        <v>0.11750000000000001</v>
      </c>
      <c r="G103">
        <v>1</v>
      </c>
      <c r="H103">
        <f t="shared" si="4"/>
        <v>29.252499999999984</v>
      </c>
      <c r="I103">
        <f t="shared" si="3"/>
        <v>1611</v>
      </c>
      <c r="J103">
        <f t="shared" si="3"/>
        <v>39</v>
      </c>
    </row>
    <row r="104" spans="1:10" ht="12.75">
      <c r="A104">
        <v>102</v>
      </c>
      <c r="B104" s="13">
        <v>39502</v>
      </c>
      <c r="C104">
        <v>8</v>
      </c>
      <c r="D104">
        <v>72</v>
      </c>
      <c r="E104">
        <f>(6*26/60)/E2</f>
        <v>0.065</v>
      </c>
      <c r="H104">
        <f aca="true" t="shared" si="5" ref="H104:H134">H103+E104</f>
        <v>29.317499999999985</v>
      </c>
      <c r="I104">
        <f t="shared" si="3"/>
        <v>1611</v>
      </c>
      <c r="J104">
        <f t="shared" si="3"/>
        <v>39</v>
      </c>
    </row>
    <row r="105" spans="1:11" ht="12.75">
      <c r="A105">
        <v>103</v>
      </c>
      <c r="B105" s="13">
        <v>39509</v>
      </c>
      <c r="D105">
        <v>72</v>
      </c>
      <c r="E105">
        <f>1/E2</f>
        <v>0.025</v>
      </c>
      <c r="F105">
        <v>22</v>
      </c>
      <c r="H105">
        <f t="shared" si="5"/>
        <v>29.342499999999983</v>
      </c>
      <c r="I105">
        <f t="shared" si="3"/>
        <v>1633</v>
      </c>
      <c r="J105">
        <f t="shared" si="3"/>
        <v>39</v>
      </c>
      <c r="K105" t="s">
        <v>46</v>
      </c>
    </row>
    <row r="106" spans="1:10" ht="12.75">
      <c r="A106">
        <v>104</v>
      </c>
      <c r="B106" s="13">
        <v>39516</v>
      </c>
      <c r="C106">
        <v>9</v>
      </c>
      <c r="D106">
        <v>72</v>
      </c>
      <c r="E106">
        <f>1/E2+(5*44/60)/E2</f>
        <v>0.11666666666666667</v>
      </c>
      <c r="H106">
        <f t="shared" si="5"/>
        <v>29.45916666666665</v>
      </c>
      <c r="I106">
        <f t="shared" si="3"/>
        <v>1633</v>
      </c>
      <c r="J106">
        <f t="shared" si="3"/>
        <v>39</v>
      </c>
    </row>
    <row r="107" spans="1:11" ht="12.75">
      <c r="A107">
        <v>105</v>
      </c>
      <c r="B107" s="13">
        <v>39523</v>
      </c>
      <c r="D107">
        <v>72</v>
      </c>
      <c r="E107">
        <f>9.5/E2+(14*19/60)/E2</f>
        <v>0.34833333333333333</v>
      </c>
      <c r="H107">
        <f t="shared" si="5"/>
        <v>29.807499999999983</v>
      </c>
      <c r="I107">
        <f t="shared" si="3"/>
        <v>1633</v>
      </c>
      <c r="J107">
        <f t="shared" si="3"/>
        <v>39</v>
      </c>
      <c r="K107">
        <f>I107/(H107*40)</f>
        <v>1.3696217394950942</v>
      </c>
    </row>
    <row r="108" spans="1:11" ht="12.75">
      <c r="A108">
        <v>106</v>
      </c>
      <c r="B108" s="13">
        <v>39530</v>
      </c>
      <c r="H108">
        <f t="shared" si="5"/>
        <v>29.807499999999983</v>
      </c>
      <c r="I108">
        <f t="shared" si="3"/>
        <v>1633</v>
      </c>
      <c r="J108">
        <f t="shared" si="3"/>
        <v>39</v>
      </c>
      <c r="K108" t="s">
        <v>45</v>
      </c>
    </row>
    <row r="109" spans="1:10" ht="12.75">
      <c r="A109">
        <v>107</v>
      </c>
      <c r="B109" s="13">
        <v>39537</v>
      </c>
      <c r="F109">
        <v>2</v>
      </c>
      <c r="H109">
        <f t="shared" si="5"/>
        <v>29.807499999999983</v>
      </c>
      <c r="I109">
        <f t="shared" si="3"/>
        <v>1635</v>
      </c>
      <c r="J109">
        <f t="shared" si="3"/>
        <v>39</v>
      </c>
    </row>
    <row r="110" spans="1:12" ht="12.75">
      <c r="A110">
        <v>108</v>
      </c>
      <c r="B110" s="13">
        <v>39544</v>
      </c>
      <c r="C110">
        <v>10</v>
      </c>
      <c r="D110">
        <v>72</v>
      </c>
      <c r="E110">
        <f>1/E2+(8*33/60)/E2</f>
        <v>0.135</v>
      </c>
      <c r="H110">
        <f t="shared" si="5"/>
        <v>29.942499999999985</v>
      </c>
      <c r="I110">
        <f t="shared" si="3"/>
        <v>1635</v>
      </c>
      <c r="J110">
        <f t="shared" si="3"/>
        <v>39</v>
      </c>
      <c r="L110">
        <f>H110*40</f>
        <v>1197.6999999999994</v>
      </c>
    </row>
    <row r="111" spans="1:11" ht="12.75">
      <c r="A111">
        <v>109</v>
      </c>
      <c r="B111" s="13">
        <v>39551</v>
      </c>
      <c r="H111">
        <f t="shared" si="5"/>
        <v>29.942499999999985</v>
      </c>
      <c r="I111">
        <f t="shared" si="3"/>
        <v>1635</v>
      </c>
      <c r="J111">
        <f t="shared" si="3"/>
        <v>39</v>
      </c>
      <c r="K111" t="s">
        <v>56</v>
      </c>
    </row>
    <row r="112" spans="1:10" ht="12.75">
      <c r="A112">
        <v>110</v>
      </c>
      <c r="B112" s="13">
        <v>39558</v>
      </c>
      <c r="E112">
        <f>(4*50/60)/E2</f>
        <v>0.08333333333333334</v>
      </c>
      <c r="F112">
        <v>2</v>
      </c>
      <c r="H112">
        <f t="shared" si="5"/>
        <v>30.025833333333317</v>
      </c>
      <c r="I112">
        <f t="shared" si="3"/>
        <v>1637</v>
      </c>
      <c r="J112">
        <f t="shared" si="3"/>
        <v>39</v>
      </c>
    </row>
    <row r="113" spans="1:12" ht="12.75">
      <c r="A113">
        <v>111</v>
      </c>
      <c r="B113" s="13">
        <v>39565</v>
      </c>
      <c r="E113">
        <f>1/E2+(4*27/60)/E2</f>
        <v>0.07</v>
      </c>
      <c r="H113">
        <f t="shared" si="5"/>
        <v>30.095833333333317</v>
      </c>
      <c r="I113">
        <f t="shared" si="3"/>
        <v>1637</v>
      </c>
      <c r="J113">
        <f t="shared" si="3"/>
        <v>39</v>
      </c>
      <c r="L113" s="14">
        <f>H113*40</f>
        <v>1203.8333333333326</v>
      </c>
    </row>
    <row r="114" spans="1:10" ht="12.75">
      <c r="A114">
        <v>112</v>
      </c>
      <c r="B114" s="13">
        <v>39572</v>
      </c>
      <c r="E114">
        <f>1/E2</f>
        <v>0.025</v>
      </c>
      <c r="H114">
        <f t="shared" si="5"/>
        <v>30.120833333333316</v>
      </c>
      <c r="I114">
        <f t="shared" si="3"/>
        <v>1637</v>
      </c>
      <c r="J114">
        <f t="shared" si="3"/>
        <v>39</v>
      </c>
    </row>
    <row r="115" spans="1:10" ht="12.75">
      <c r="A115">
        <v>113</v>
      </c>
      <c r="B115" s="13">
        <v>39579</v>
      </c>
      <c r="E115">
        <f>3/E2</f>
        <v>0.075</v>
      </c>
      <c r="H115">
        <f t="shared" si="5"/>
        <v>30.195833333333315</v>
      </c>
      <c r="I115">
        <f t="shared" si="3"/>
        <v>1637</v>
      </c>
      <c r="J115">
        <f t="shared" si="3"/>
        <v>39</v>
      </c>
    </row>
    <row r="116" spans="1:10" ht="12.75">
      <c r="A116">
        <v>114</v>
      </c>
      <c r="B116" s="13">
        <v>39586</v>
      </c>
      <c r="H116">
        <f t="shared" si="5"/>
        <v>30.195833333333315</v>
      </c>
      <c r="I116">
        <f t="shared" si="3"/>
        <v>1637</v>
      </c>
      <c r="J116">
        <f t="shared" si="3"/>
        <v>39</v>
      </c>
    </row>
    <row r="117" spans="1:10" ht="12.75">
      <c r="A117">
        <v>115</v>
      </c>
      <c r="B117" s="13">
        <v>39593</v>
      </c>
      <c r="E117">
        <f>1/E2</f>
        <v>0.025</v>
      </c>
      <c r="H117">
        <f t="shared" si="5"/>
        <v>30.220833333333314</v>
      </c>
      <c r="I117">
        <f t="shared" si="3"/>
        <v>1637</v>
      </c>
      <c r="J117">
        <f t="shared" si="3"/>
        <v>39</v>
      </c>
    </row>
    <row r="118" spans="1:10" ht="12.75">
      <c r="A118">
        <v>116</v>
      </c>
      <c r="B118" s="13">
        <v>39600</v>
      </c>
      <c r="C118">
        <v>11</v>
      </c>
      <c r="D118">
        <v>72</v>
      </c>
      <c r="E118">
        <f>((6*27)/60)/E2</f>
        <v>0.0675</v>
      </c>
      <c r="F118">
        <v>1</v>
      </c>
      <c r="H118">
        <f t="shared" si="5"/>
        <v>30.288333333333313</v>
      </c>
      <c r="I118">
        <f t="shared" si="3"/>
        <v>1638</v>
      </c>
      <c r="J118">
        <f t="shared" si="3"/>
        <v>39</v>
      </c>
    </row>
    <row r="119" spans="1:10" ht="12.75">
      <c r="A119">
        <v>117</v>
      </c>
      <c r="B119" s="13">
        <v>39607</v>
      </c>
      <c r="H119">
        <f t="shared" si="5"/>
        <v>30.288333333333313</v>
      </c>
      <c r="I119">
        <f t="shared" si="3"/>
        <v>1638</v>
      </c>
      <c r="J119">
        <f t="shared" si="3"/>
        <v>39</v>
      </c>
    </row>
    <row r="120" spans="1:11" ht="12.75">
      <c r="A120">
        <v>118</v>
      </c>
      <c r="B120" s="13">
        <v>39614</v>
      </c>
      <c r="H120">
        <f t="shared" si="5"/>
        <v>30.288333333333313</v>
      </c>
      <c r="I120">
        <f t="shared" si="3"/>
        <v>1638</v>
      </c>
      <c r="J120">
        <f t="shared" si="3"/>
        <v>39</v>
      </c>
      <c r="K120" t="s">
        <v>57</v>
      </c>
    </row>
    <row r="121" spans="1:10" ht="12.75">
      <c r="A121">
        <v>119</v>
      </c>
      <c r="B121" s="13">
        <v>39621</v>
      </c>
      <c r="E121">
        <f>((6*14)/60)/E2</f>
        <v>0.034999999999999996</v>
      </c>
      <c r="H121">
        <f t="shared" si="5"/>
        <v>30.323333333333313</v>
      </c>
      <c r="I121">
        <f t="shared" si="3"/>
        <v>1638</v>
      </c>
      <c r="J121">
        <f t="shared" si="3"/>
        <v>39</v>
      </c>
    </row>
    <row r="122" spans="1:10" ht="12.75">
      <c r="A122">
        <v>120</v>
      </c>
      <c r="B122" s="13">
        <v>39628</v>
      </c>
      <c r="E122">
        <f>1/E2</f>
        <v>0.025</v>
      </c>
      <c r="H122">
        <f t="shared" si="5"/>
        <v>30.34833333333331</v>
      </c>
      <c r="I122">
        <f t="shared" si="3"/>
        <v>1638</v>
      </c>
      <c r="J122">
        <f t="shared" si="3"/>
        <v>39</v>
      </c>
    </row>
    <row r="123" spans="1:10" ht="12.75">
      <c r="A123">
        <v>121</v>
      </c>
      <c r="B123" s="13">
        <v>39635</v>
      </c>
      <c r="E123">
        <f>1/E2</f>
        <v>0.025</v>
      </c>
      <c r="H123">
        <f t="shared" si="5"/>
        <v>30.37333333333331</v>
      </c>
      <c r="I123">
        <f t="shared" si="3"/>
        <v>1638</v>
      </c>
      <c r="J123">
        <f t="shared" si="3"/>
        <v>39</v>
      </c>
    </row>
    <row r="124" spans="1:10" ht="12.75">
      <c r="A124">
        <v>122</v>
      </c>
      <c r="B124" s="13">
        <v>39642</v>
      </c>
      <c r="E124">
        <f>4.1/E2</f>
        <v>0.1025</v>
      </c>
      <c r="H124">
        <f t="shared" si="5"/>
        <v>30.47583333333331</v>
      </c>
      <c r="I124">
        <f>I123+F124</f>
        <v>1638</v>
      </c>
      <c r="J124">
        <f>J123+G124</f>
        <v>39</v>
      </c>
    </row>
    <row r="125" spans="1:10" ht="12.75">
      <c r="A125">
        <v>123</v>
      </c>
      <c r="B125" s="13">
        <v>39649</v>
      </c>
      <c r="H125">
        <f t="shared" si="5"/>
        <v>30.47583333333331</v>
      </c>
      <c r="I125">
        <f>I124+F125</f>
        <v>1638</v>
      </c>
      <c r="J125">
        <f>J124+G125</f>
        <v>39</v>
      </c>
    </row>
    <row r="126" spans="1:8" ht="12.75">
      <c r="A126">
        <v>124</v>
      </c>
      <c r="B126" s="13">
        <v>39656</v>
      </c>
      <c r="E126">
        <f>1/E2</f>
        <v>0.025</v>
      </c>
      <c r="H126">
        <f t="shared" si="5"/>
        <v>30.500833333333308</v>
      </c>
    </row>
    <row r="127" spans="1:8" ht="12.75">
      <c r="A127">
        <v>125</v>
      </c>
      <c r="B127" s="13">
        <v>39663</v>
      </c>
      <c r="H127">
        <f t="shared" si="5"/>
        <v>30.500833333333308</v>
      </c>
    </row>
    <row r="128" spans="1:8" ht="12.75">
      <c r="A128">
        <v>126</v>
      </c>
      <c r="B128" s="13">
        <v>39670</v>
      </c>
      <c r="H128">
        <f t="shared" si="5"/>
        <v>30.500833333333308</v>
      </c>
    </row>
    <row r="129" spans="1:8" ht="12.75">
      <c r="A129">
        <v>127</v>
      </c>
      <c r="B129" s="13">
        <v>39677</v>
      </c>
      <c r="H129">
        <f t="shared" si="5"/>
        <v>30.500833333333308</v>
      </c>
    </row>
    <row r="130" spans="1:8" ht="12.75">
      <c r="A130">
        <v>128</v>
      </c>
      <c r="B130" s="13">
        <v>39684</v>
      </c>
      <c r="H130">
        <f t="shared" si="5"/>
        <v>30.500833333333308</v>
      </c>
    </row>
    <row r="131" spans="1:8" ht="12.75">
      <c r="A131">
        <v>129</v>
      </c>
      <c r="B131" s="13">
        <v>39691</v>
      </c>
      <c r="E131">
        <f>1/E2</f>
        <v>0.025</v>
      </c>
      <c r="H131">
        <f t="shared" si="5"/>
        <v>30.525833333333306</v>
      </c>
    </row>
    <row r="132" spans="1:8" ht="12.75">
      <c r="A132">
        <v>130</v>
      </c>
      <c r="B132" s="13">
        <v>39698</v>
      </c>
      <c r="E132">
        <f>4/E2</f>
        <v>0.1</v>
      </c>
      <c r="H132">
        <f t="shared" si="5"/>
        <v>30.625833333333308</v>
      </c>
    </row>
    <row r="133" spans="1:8" ht="12.75">
      <c r="A133">
        <v>131</v>
      </c>
      <c r="B133" s="13">
        <v>39705</v>
      </c>
      <c r="D133">
        <v>74</v>
      </c>
      <c r="H133">
        <f t="shared" si="5"/>
        <v>30.625833333333308</v>
      </c>
    </row>
    <row r="134" spans="1:11" ht="12.75">
      <c r="A134">
        <v>132</v>
      </c>
      <c r="B134" s="13">
        <v>39712</v>
      </c>
      <c r="H134">
        <f t="shared" si="5"/>
        <v>30.625833333333308</v>
      </c>
      <c r="K134" t="s">
        <v>97</v>
      </c>
    </row>
    <row r="135" spans="1:2" ht="12.75">
      <c r="A135">
        <v>133</v>
      </c>
      <c r="B135" s="13"/>
    </row>
    <row r="136" spans="1:2" ht="12.75">
      <c r="A136">
        <v>134</v>
      </c>
      <c r="B136" s="13"/>
    </row>
    <row r="137" spans="1:2" ht="12.75">
      <c r="A137">
        <v>135</v>
      </c>
      <c r="B137" s="13"/>
    </row>
    <row r="138" spans="1:2" ht="12.75">
      <c r="A138">
        <v>136</v>
      </c>
      <c r="B138" s="13"/>
    </row>
    <row r="139" spans="1:2" ht="12.75">
      <c r="A139">
        <v>137</v>
      </c>
      <c r="B139" s="13"/>
    </row>
    <row r="140" spans="1:2" ht="12.75">
      <c r="A140">
        <v>138</v>
      </c>
      <c r="B140" s="13"/>
    </row>
    <row r="141" spans="1:2" ht="12.75">
      <c r="A141">
        <v>139</v>
      </c>
      <c r="B141" s="13"/>
    </row>
    <row r="142" spans="1:2" ht="12.75">
      <c r="A142">
        <v>140</v>
      </c>
      <c r="B142" s="13"/>
    </row>
    <row r="143" spans="1:2" ht="12.75">
      <c r="A143">
        <v>141</v>
      </c>
      <c r="B143" s="13"/>
    </row>
    <row r="144" spans="1:2" ht="12.75">
      <c r="A144">
        <v>142</v>
      </c>
      <c r="B144" s="13"/>
    </row>
    <row r="145" spans="1:2" ht="12.75">
      <c r="A145">
        <v>143</v>
      </c>
      <c r="B145" s="13"/>
    </row>
    <row r="146" spans="1:2" ht="12.75">
      <c r="A146">
        <v>144</v>
      </c>
      <c r="B146" s="13"/>
    </row>
    <row r="147" spans="1:2" ht="12.75">
      <c r="A147">
        <v>145</v>
      </c>
      <c r="B147" s="13"/>
    </row>
    <row r="148" spans="1:2" ht="12.75">
      <c r="A148">
        <v>146</v>
      </c>
      <c r="B148" s="13"/>
    </row>
    <row r="149" spans="1:2" ht="12.75">
      <c r="A149">
        <v>147</v>
      </c>
      <c r="B149" s="13"/>
    </row>
    <row r="150" spans="1:2" ht="12.75">
      <c r="A150">
        <v>148</v>
      </c>
      <c r="B150" s="13"/>
    </row>
    <row r="151" spans="1:2" ht="12.75">
      <c r="A151">
        <v>149</v>
      </c>
      <c r="B151" s="13"/>
    </row>
    <row r="152" spans="1:2" ht="12.75">
      <c r="A152">
        <v>150</v>
      </c>
      <c r="B152" s="13"/>
    </row>
    <row r="153" spans="1:2" ht="12.75">
      <c r="A153">
        <v>151</v>
      </c>
      <c r="B153" s="13"/>
    </row>
    <row r="154" spans="1:2" ht="12.75">
      <c r="A154">
        <v>152</v>
      </c>
      <c r="B154" s="13"/>
    </row>
    <row r="155" spans="1:2" ht="12.75">
      <c r="A155">
        <v>153</v>
      </c>
      <c r="B155" s="13"/>
    </row>
    <row r="156" spans="1:2" ht="12.75">
      <c r="A156">
        <v>154</v>
      </c>
      <c r="B156" s="13"/>
    </row>
    <row r="157" spans="1:2" ht="12.75">
      <c r="A157">
        <v>155</v>
      </c>
      <c r="B157" s="13"/>
    </row>
    <row r="158" spans="1:2" ht="12.75">
      <c r="A158">
        <v>156</v>
      </c>
      <c r="B158" s="13"/>
    </row>
    <row r="159" ht="12.75">
      <c r="B159" s="13"/>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4"/>
  <dimension ref="A1:N43"/>
  <sheetViews>
    <sheetView workbookViewId="0" topLeftCell="A1">
      <selection activeCell="M12" sqref="M12"/>
    </sheetView>
  </sheetViews>
  <sheetFormatPr defaultColWidth="9.140625" defaultRowHeight="12.75"/>
  <cols>
    <col min="5" max="5" width="10.421875" style="0" customWidth="1"/>
    <col min="7" max="9" width="10.140625" style="0" bestFit="1" customWidth="1"/>
    <col min="13" max="13" width="11.7109375" style="0" customWidth="1"/>
    <col min="14" max="14" width="11.140625" style="0" customWidth="1"/>
  </cols>
  <sheetData>
    <row r="1" spans="5:14" ht="12.75">
      <c r="E1" t="s">
        <v>30</v>
      </c>
      <c r="F1" t="s">
        <v>66</v>
      </c>
      <c r="G1" t="s">
        <v>54</v>
      </c>
      <c r="H1" t="s">
        <v>55</v>
      </c>
      <c r="I1" t="s">
        <v>82</v>
      </c>
      <c r="J1" t="s">
        <v>83</v>
      </c>
      <c r="K1" t="s">
        <v>76</v>
      </c>
      <c r="M1" t="s">
        <v>80</v>
      </c>
      <c r="N1" t="s">
        <v>85</v>
      </c>
    </row>
    <row r="2" spans="1:14" ht="12.75">
      <c r="A2" t="s">
        <v>31</v>
      </c>
      <c r="E2">
        <v>1184</v>
      </c>
      <c r="G2" s="15">
        <v>37700</v>
      </c>
      <c r="H2" s="15">
        <v>39149</v>
      </c>
      <c r="I2" s="16">
        <f aca="true" t="shared" si="0" ref="I2:I12">30.25*E2/(H2-G2)</f>
        <v>24.717736369910284</v>
      </c>
      <c r="K2" s="19">
        <v>48</v>
      </c>
      <c r="L2">
        <v>0.0145</v>
      </c>
      <c r="M2" s="22">
        <f aca="true" t="shared" si="1" ref="M2:M12">E2/(0.5+(L2*E2))</f>
        <v>67.01381027846955</v>
      </c>
      <c r="N2" s="15">
        <f>G2+30.25*M2</f>
        <v>39727.1677609237</v>
      </c>
    </row>
    <row r="3" spans="1:14" ht="12.75">
      <c r="A3" t="s">
        <v>51</v>
      </c>
      <c r="B3" t="s">
        <v>33</v>
      </c>
      <c r="E3">
        <v>222</v>
      </c>
      <c r="F3">
        <f>E2+E3</f>
        <v>1406</v>
      </c>
      <c r="G3" s="15">
        <v>37601</v>
      </c>
      <c r="H3" s="15">
        <v>39577</v>
      </c>
      <c r="I3" s="16">
        <f t="shared" si="0"/>
        <v>3.3985323886639676</v>
      </c>
      <c r="K3" s="17">
        <v>51</v>
      </c>
      <c r="L3">
        <v>0.0145</v>
      </c>
      <c r="M3" s="22">
        <f t="shared" si="1"/>
        <v>59.69346598547996</v>
      </c>
      <c r="N3" s="15">
        <f aca="true" t="shared" si="2" ref="N3:N12">G3+30.25*M3</f>
        <v>39406.72734606077</v>
      </c>
    </row>
    <row r="4" spans="1:14" ht="12.75">
      <c r="A4" t="s">
        <v>60</v>
      </c>
      <c r="B4" t="s">
        <v>34</v>
      </c>
      <c r="E4">
        <v>108</v>
      </c>
      <c r="F4">
        <f aca="true" t="shared" si="3" ref="F4:F9">F3+E4</f>
        <v>1514</v>
      </c>
      <c r="G4" s="15">
        <v>38120</v>
      </c>
      <c r="H4" s="15">
        <v>39577</v>
      </c>
      <c r="I4" s="16">
        <f t="shared" si="0"/>
        <v>2.2422786547700757</v>
      </c>
      <c r="K4" s="17">
        <v>48</v>
      </c>
      <c r="L4">
        <v>0.0145</v>
      </c>
      <c r="M4" s="22">
        <f t="shared" si="1"/>
        <v>52.27492739593418</v>
      </c>
      <c r="N4" s="15">
        <f t="shared" si="2"/>
        <v>39701.31655372701</v>
      </c>
    </row>
    <row r="5" spans="1:14" ht="12.75">
      <c r="A5" t="s">
        <v>52</v>
      </c>
      <c r="B5" t="s">
        <v>35</v>
      </c>
      <c r="E5">
        <v>74</v>
      </c>
      <c r="F5">
        <f t="shared" si="3"/>
        <v>1588</v>
      </c>
      <c r="G5" s="15">
        <v>38792</v>
      </c>
      <c r="H5" s="15">
        <v>39716</v>
      </c>
      <c r="I5" s="16">
        <f t="shared" si="0"/>
        <v>2.4226190476190474</v>
      </c>
      <c r="J5" s="18">
        <v>26</v>
      </c>
      <c r="K5" s="17">
        <v>30</v>
      </c>
      <c r="L5">
        <v>0.0145</v>
      </c>
      <c r="M5" s="22">
        <f t="shared" si="1"/>
        <v>47.04386522568341</v>
      </c>
      <c r="N5" s="15">
        <f t="shared" si="2"/>
        <v>40215.07692307692</v>
      </c>
    </row>
    <row r="6" spans="1:14" ht="12.75">
      <c r="A6" t="s">
        <v>44</v>
      </c>
      <c r="B6" t="s">
        <v>36</v>
      </c>
      <c r="E6">
        <v>65</v>
      </c>
      <c r="F6">
        <f t="shared" si="3"/>
        <v>1653</v>
      </c>
      <c r="G6" s="15">
        <v>38431</v>
      </c>
      <c r="H6" s="15">
        <v>40156</v>
      </c>
      <c r="I6" s="16">
        <f t="shared" si="0"/>
        <v>1.1398550724637682</v>
      </c>
      <c r="J6">
        <v>54</v>
      </c>
      <c r="L6">
        <v>0.0125</v>
      </c>
      <c r="M6" s="22">
        <f t="shared" si="1"/>
        <v>49.523809523809526</v>
      </c>
      <c r="N6" s="15">
        <f t="shared" si="2"/>
        <v>39929.09523809524</v>
      </c>
    </row>
    <row r="7" spans="1:14" ht="12.75">
      <c r="A7" t="s">
        <v>73</v>
      </c>
      <c r="B7" t="s">
        <v>37</v>
      </c>
      <c r="E7">
        <v>529</v>
      </c>
      <c r="F7">
        <f t="shared" si="3"/>
        <v>2182</v>
      </c>
      <c r="G7" s="15">
        <v>37875</v>
      </c>
      <c r="H7" s="15">
        <v>40067</v>
      </c>
      <c r="I7" s="16">
        <f t="shared" si="0"/>
        <v>7.3002965328467155</v>
      </c>
      <c r="J7">
        <v>72</v>
      </c>
      <c r="L7">
        <v>0.0125</v>
      </c>
      <c r="M7" s="22">
        <f t="shared" si="1"/>
        <v>74.37609841827768</v>
      </c>
      <c r="N7" s="15">
        <f t="shared" si="2"/>
        <v>40124.8769771529</v>
      </c>
    </row>
    <row r="8" spans="1:14" ht="12.75">
      <c r="A8" t="s">
        <v>53</v>
      </c>
      <c r="B8" t="s">
        <v>39</v>
      </c>
      <c r="E8">
        <v>45</v>
      </c>
      <c r="F8">
        <f t="shared" si="3"/>
        <v>2227</v>
      </c>
      <c r="G8" s="15">
        <v>39316</v>
      </c>
      <c r="H8" s="15">
        <v>40067</v>
      </c>
      <c r="I8" s="16">
        <f t="shared" si="0"/>
        <v>1.812583222370173</v>
      </c>
      <c r="J8" s="18">
        <v>25</v>
      </c>
      <c r="L8">
        <v>0.0125</v>
      </c>
      <c r="M8" s="22">
        <f t="shared" si="1"/>
        <v>42.35294117647059</v>
      </c>
      <c r="N8" s="15">
        <f t="shared" si="2"/>
        <v>40597.17647058824</v>
      </c>
    </row>
    <row r="9" spans="1:14" ht="12.75">
      <c r="A9" t="s">
        <v>62</v>
      </c>
      <c r="B9" t="s">
        <v>42</v>
      </c>
      <c r="E9">
        <v>37</v>
      </c>
      <c r="F9">
        <f t="shared" si="3"/>
        <v>2264</v>
      </c>
      <c r="G9" s="15">
        <v>38253</v>
      </c>
      <c r="H9" s="15">
        <v>40156</v>
      </c>
      <c r="I9" s="16">
        <f t="shared" si="0"/>
        <v>0.588150289017341</v>
      </c>
      <c r="J9" s="18">
        <v>62.5</v>
      </c>
      <c r="L9">
        <v>0.0125</v>
      </c>
      <c r="M9" s="22">
        <f t="shared" si="1"/>
        <v>38.44155844155844</v>
      </c>
      <c r="N9" s="15">
        <f t="shared" si="2"/>
        <v>39415.857142857145</v>
      </c>
    </row>
    <row r="10" spans="1:14" ht="12.75">
      <c r="A10" t="s">
        <v>84</v>
      </c>
      <c r="B10" t="s">
        <v>40</v>
      </c>
      <c r="E10">
        <v>295</v>
      </c>
      <c r="F10">
        <f>F9+E10</f>
        <v>2559</v>
      </c>
      <c r="G10" s="15">
        <v>38329</v>
      </c>
      <c r="H10" s="15">
        <v>40263</v>
      </c>
      <c r="I10" s="16">
        <f t="shared" si="0"/>
        <v>4.614141675284385</v>
      </c>
      <c r="J10">
        <v>63.5</v>
      </c>
      <c r="L10">
        <v>0.0125</v>
      </c>
      <c r="M10" s="22">
        <f t="shared" si="1"/>
        <v>70.44776119402985</v>
      </c>
      <c r="N10" s="15">
        <f t="shared" si="2"/>
        <v>40460.0447761194</v>
      </c>
    </row>
    <row r="11" spans="1:14" ht="12.75">
      <c r="A11" t="s">
        <v>59</v>
      </c>
      <c r="B11" t="s">
        <v>38</v>
      </c>
      <c r="E11">
        <v>164</v>
      </c>
      <c r="F11">
        <f>F10+E11</f>
        <v>2723</v>
      </c>
      <c r="G11" s="15">
        <v>38329</v>
      </c>
      <c r="H11" s="15">
        <v>40263</v>
      </c>
      <c r="I11" s="16">
        <f t="shared" si="0"/>
        <v>2.565149948293692</v>
      </c>
      <c r="J11">
        <v>63.5</v>
      </c>
      <c r="L11">
        <v>0.0125</v>
      </c>
      <c r="M11" s="22">
        <f t="shared" si="1"/>
        <v>64.31372549019608</v>
      </c>
      <c r="N11" s="15">
        <f t="shared" si="2"/>
        <v>40274.490196078434</v>
      </c>
    </row>
    <row r="12" spans="1:14" ht="12.75">
      <c r="A12" t="s">
        <v>65</v>
      </c>
      <c r="B12" t="s">
        <v>41</v>
      </c>
      <c r="E12">
        <v>254</v>
      </c>
      <c r="F12">
        <f>F11+E12</f>
        <v>2977</v>
      </c>
      <c r="G12" s="15">
        <v>38120</v>
      </c>
      <c r="H12" s="15">
        <v>40433</v>
      </c>
      <c r="I12" s="16">
        <f t="shared" si="0"/>
        <v>3.3218763510592306</v>
      </c>
      <c r="J12">
        <v>64</v>
      </c>
      <c r="L12">
        <v>0.0125</v>
      </c>
      <c r="M12" s="22">
        <f t="shared" si="1"/>
        <v>69.11564625850339</v>
      </c>
      <c r="N12" s="15">
        <f t="shared" si="2"/>
        <v>40210.748299319726</v>
      </c>
    </row>
    <row r="13" spans="1:2" ht="12.75">
      <c r="A13" t="s">
        <v>47</v>
      </c>
      <c r="B13" t="s">
        <v>50</v>
      </c>
    </row>
    <row r="14" spans="1:10" ht="12.75">
      <c r="A14" t="s">
        <v>48</v>
      </c>
      <c r="B14" t="s">
        <v>49</v>
      </c>
      <c r="G14" s="15">
        <v>39785</v>
      </c>
      <c r="H14" s="15">
        <v>40711</v>
      </c>
      <c r="J14">
        <v>30.5</v>
      </c>
    </row>
    <row r="15" spans="7:8" ht="12.75">
      <c r="G15" s="15"/>
      <c r="H15" s="15"/>
    </row>
    <row r="16" spans="1:7" ht="12.75">
      <c r="A16" t="s">
        <v>63</v>
      </c>
      <c r="B16" t="s">
        <v>64</v>
      </c>
      <c r="G16" s="15">
        <v>39717</v>
      </c>
    </row>
    <row r="17" spans="1:5" ht="12.75">
      <c r="A17" t="s">
        <v>32</v>
      </c>
      <c r="E17">
        <f>SUM(E2:E16)</f>
        <v>2977</v>
      </c>
    </row>
    <row r="43" spans="7:11" ht="12.75">
      <c r="G43" t="s">
        <v>77</v>
      </c>
      <c r="H43" t="s">
        <v>78</v>
      </c>
      <c r="I43" t="s">
        <v>72</v>
      </c>
      <c r="J43" t="s">
        <v>79</v>
      </c>
      <c r="K43" t="s">
        <v>81</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V20"/>
  <sheetViews>
    <sheetView workbookViewId="0" topLeftCell="A1">
      <selection activeCell="H11" sqref="H11"/>
    </sheetView>
  </sheetViews>
  <sheetFormatPr defaultColWidth="9.140625" defaultRowHeight="12.75"/>
  <cols>
    <col min="6" max="6" width="10.140625" style="0" bestFit="1" customWidth="1"/>
    <col min="8" max="8" width="10.28125" style="0" customWidth="1"/>
    <col min="12" max="13" width="10.140625" style="0" bestFit="1" customWidth="1"/>
    <col min="18" max="18" width="10.140625" style="0" bestFit="1" customWidth="1"/>
  </cols>
  <sheetData>
    <row r="1" ht="12.75">
      <c r="A1" t="s">
        <v>67</v>
      </c>
    </row>
    <row r="3" spans="1:22" ht="12.75">
      <c r="A3" t="s">
        <v>68</v>
      </c>
      <c r="E3" s="15">
        <v>39703</v>
      </c>
      <c r="F3" s="15">
        <v>39766</v>
      </c>
      <c r="G3" s="15">
        <v>39836</v>
      </c>
      <c r="H3" s="15">
        <v>39885</v>
      </c>
      <c r="I3" s="15">
        <v>39948</v>
      </c>
      <c r="J3" s="15">
        <v>40011</v>
      </c>
      <c r="K3" s="15">
        <v>40081</v>
      </c>
      <c r="L3" s="15">
        <v>40137</v>
      </c>
      <c r="N3" s="15">
        <v>40256</v>
      </c>
      <c r="P3" s="15">
        <v>40375</v>
      </c>
      <c r="R3" s="15">
        <v>40494</v>
      </c>
      <c r="T3" s="15">
        <v>40620</v>
      </c>
      <c r="V3" s="15">
        <v>40739</v>
      </c>
    </row>
    <row r="4" spans="1:22" ht="12.75">
      <c r="A4" t="s">
        <v>69</v>
      </c>
      <c r="F4" s="15">
        <v>39736</v>
      </c>
      <c r="H4" s="15">
        <v>39855</v>
      </c>
      <c r="J4" s="15">
        <v>39981</v>
      </c>
      <c r="L4" s="15">
        <v>40107</v>
      </c>
      <c r="N4" s="15">
        <v>40226</v>
      </c>
      <c r="P4" s="15">
        <v>40345</v>
      </c>
      <c r="R4" s="15">
        <v>40464</v>
      </c>
      <c r="T4" s="15">
        <v>40590</v>
      </c>
      <c r="V4" s="15">
        <v>40709</v>
      </c>
    </row>
    <row r="5" spans="1:22" ht="12.75">
      <c r="A5" t="s">
        <v>70</v>
      </c>
      <c r="F5" s="15">
        <v>39766</v>
      </c>
      <c r="H5" s="15">
        <v>39885</v>
      </c>
      <c r="J5" s="15">
        <v>40011</v>
      </c>
      <c r="L5" s="15">
        <v>40137</v>
      </c>
      <c r="N5" s="15">
        <v>40256</v>
      </c>
      <c r="P5" s="15">
        <v>40375</v>
      </c>
      <c r="R5" s="15">
        <v>40494</v>
      </c>
      <c r="T5" s="15">
        <v>40620</v>
      </c>
      <c r="V5" s="15">
        <v>40739</v>
      </c>
    </row>
    <row r="6" spans="1:22" ht="12.75">
      <c r="A6" t="s">
        <v>74</v>
      </c>
      <c r="E6" s="15">
        <v>39675</v>
      </c>
      <c r="F6" s="15">
        <v>39741</v>
      </c>
      <c r="H6" s="15">
        <v>39850</v>
      </c>
      <c r="I6" s="15">
        <v>39940</v>
      </c>
      <c r="K6" s="15">
        <v>40025</v>
      </c>
      <c r="M6" s="15">
        <v>40105</v>
      </c>
      <c r="N6" s="15">
        <v>40223</v>
      </c>
      <c r="O6" s="15">
        <v>40304</v>
      </c>
      <c r="Q6" s="15">
        <v>40391</v>
      </c>
      <c r="R6" s="15">
        <v>40469</v>
      </c>
      <c r="T6" s="15">
        <v>40585</v>
      </c>
      <c r="V6" s="15">
        <v>40668</v>
      </c>
    </row>
    <row r="7" spans="1:22" ht="12.75">
      <c r="A7" t="s">
        <v>75</v>
      </c>
      <c r="E7" s="15">
        <v>39716</v>
      </c>
      <c r="F7" s="15">
        <v>39792</v>
      </c>
      <c r="H7" s="15">
        <v>39890</v>
      </c>
      <c r="I7" s="15">
        <v>39981</v>
      </c>
      <c r="K7" s="15">
        <v>40067</v>
      </c>
      <c r="M7" s="15">
        <v>40156</v>
      </c>
      <c r="N7" s="15">
        <v>40263</v>
      </c>
      <c r="O7" s="15">
        <v>40345</v>
      </c>
      <c r="Q7" s="15">
        <v>40433</v>
      </c>
      <c r="R7" s="15">
        <v>40520</v>
      </c>
      <c r="T7" s="15">
        <v>40625</v>
      </c>
      <c r="V7" s="15">
        <v>40709</v>
      </c>
    </row>
    <row r="8" spans="6:22" ht="12.75">
      <c r="F8" s="15"/>
      <c r="H8" s="15"/>
      <c r="I8" s="15"/>
      <c r="K8" s="15"/>
      <c r="M8" s="15"/>
      <c r="N8" s="15"/>
      <c r="O8" s="15"/>
      <c r="Q8" s="15"/>
      <c r="R8" s="15"/>
      <c r="T8" s="15"/>
      <c r="V8" s="15"/>
    </row>
    <row r="9" spans="6:22" ht="12.75">
      <c r="F9" s="15"/>
      <c r="H9" s="15"/>
      <c r="I9" s="15"/>
      <c r="K9" s="15"/>
      <c r="M9" s="15"/>
      <c r="N9" s="15"/>
      <c r="O9" s="15"/>
      <c r="Q9" s="15"/>
      <c r="R9" s="15"/>
      <c r="T9" s="15"/>
      <c r="V9" s="15"/>
    </row>
    <row r="10" spans="5:8" ht="12.75">
      <c r="E10" t="s">
        <v>72</v>
      </c>
      <c r="F10" t="s">
        <v>71</v>
      </c>
      <c r="H10" t="s">
        <v>86</v>
      </c>
    </row>
    <row r="11" spans="1:8" ht="12.75">
      <c r="A11" t="s">
        <v>51</v>
      </c>
      <c r="B11" t="s">
        <v>33</v>
      </c>
      <c r="E11" s="21">
        <f>Pagecount!E3</f>
        <v>222</v>
      </c>
      <c r="F11" s="20">
        <f>Pagecount!E3/Pagecount!K3</f>
        <v>4.352941176470588</v>
      </c>
      <c r="H11" s="15">
        <f>Pagecount!N3</f>
        <v>39406.72734606077</v>
      </c>
    </row>
    <row r="12" spans="1:8" ht="12.75">
      <c r="A12" t="s">
        <v>60</v>
      </c>
      <c r="B12" t="s">
        <v>34</v>
      </c>
      <c r="E12" s="21">
        <f>Pagecount!E4</f>
        <v>108</v>
      </c>
      <c r="F12" s="20">
        <f>Pagecount!E4/Pagecount!K4</f>
        <v>2.25</v>
      </c>
      <c r="H12" s="15">
        <f>Pagecount!N4</f>
        <v>39701.31655372701</v>
      </c>
    </row>
    <row r="13" spans="1:8" ht="12.75">
      <c r="A13" t="s">
        <v>52</v>
      </c>
      <c r="B13" t="s">
        <v>35</v>
      </c>
      <c r="E13" s="21">
        <f>Pagecount!E5</f>
        <v>74</v>
      </c>
      <c r="F13" s="20">
        <f>Pagecount!E5/Pagecount!K5</f>
        <v>2.466666666666667</v>
      </c>
      <c r="H13" s="15">
        <f>Pagecount!N5</f>
        <v>40215.07692307692</v>
      </c>
    </row>
    <row r="14" spans="1:13" ht="12.75">
      <c r="A14" t="s">
        <v>44</v>
      </c>
      <c r="B14" t="s">
        <v>36</v>
      </c>
      <c r="E14">
        <f>Pagecount!E6</f>
        <v>65</v>
      </c>
      <c r="F14" s="16">
        <f>Pagecount!I6</f>
        <v>1.1398550724637682</v>
      </c>
      <c r="H14" s="15">
        <f>Pagecount!N6</f>
        <v>39929.09523809524</v>
      </c>
      <c r="M14" s="15">
        <v>40156</v>
      </c>
    </row>
    <row r="15" spans="1:11" ht="12.75">
      <c r="A15" t="s">
        <v>61</v>
      </c>
      <c r="B15" t="s">
        <v>37</v>
      </c>
      <c r="E15">
        <f>Pagecount!E7</f>
        <v>529</v>
      </c>
      <c r="F15" s="16">
        <f>Pagecount!I7</f>
        <v>7.3002965328467155</v>
      </c>
      <c r="H15" s="15">
        <f>Pagecount!N7</f>
        <v>40124.8769771529</v>
      </c>
      <c r="K15" s="15">
        <v>40067</v>
      </c>
    </row>
    <row r="16" spans="1:11" ht="12.75">
      <c r="A16" t="s">
        <v>53</v>
      </c>
      <c r="B16" t="s">
        <v>39</v>
      </c>
      <c r="E16">
        <f>Pagecount!E8</f>
        <v>45</v>
      </c>
      <c r="F16" s="16">
        <f>Pagecount!I8</f>
        <v>1.812583222370173</v>
      </c>
      <c r="H16" s="15">
        <f>Pagecount!N8</f>
        <v>40597.17647058824</v>
      </c>
      <c r="K16" s="15">
        <v>40067</v>
      </c>
    </row>
    <row r="17" spans="1:13" ht="12.75">
      <c r="A17" t="s">
        <v>62</v>
      </c>
      <c r="B17" t="s">
        <v>42</v>
      </c>
      <c r="E17">
        <f>Pagecount!E9</f>
        <v>37</v>
      </c>
      <c r="F17" s="16">
        <f>Pagecount!I9</f>
        <v>0.588150289017341</v>
      </c>
      <c r="H17" s="15">
        <f>Pagecount!N9</f>
        <v>39415.857142857145</v>
      </c>
      <c r="M17" s="15">
        <v>40156</v>
      </c>
    </row>
    <row r="18" spans="1:14" ht="12.75">
      <c r="A18" t="s">
        <v>58</v>
      </c>
      <c r="B18" t="s">
        <v>40</v>
      </c>
      <c r="E18">
        <f>Pagecount!E10</f>
        <v>295</v>
      </c>
      <c r="F18" s="16">
        <f>Pagecount!I10</f>
        <v>4.614141675284385</v>
      </c>
      <c r="H18" s="15">
        <f>Pagecount!N10</f>
        <v>40460.0447761194</v>
      </c>
      <c r="N18" s="15">
        <v>40263</v>
      </c>
    </row>
    <row r="19" spans="1:14" ht="12.75">
      <c r="A19" t="s">
        <v>59</v>
      </c>
      <c r="B19" t="s">
        <v>38</v>
      </c>
      <c r="E19">
        <f>Pagecount!E11</f>
        <v>164</v>
      </c>
      <c r="F19" s="16">
        <f>Pagecount!I11</f>
        <v>2.565149948293692</v>
      </c>
      <c r="H19" s="15">
        <f>Pagecount!N11</f>
        <v>40274.490196078434</v>
      </c>
      <c r="N19" s="15">
        <v>40263</v>
      </c>
    </row>
    <row r="20" spans="1:17" ht="12.75">
      <c r="A20" t="s">
        <v>65</v>
      </c>
      <c r="B20" t="s">
        <v>41</v>
      </c>
      <c r="E20">
        <f>Pagecount!E12</f>
        <v>254</v>
      </c>
      <c r="F20" s="16">
        <f>Pagecount!I12</f>
        <v>3.3218763510592306</v>
      </c>
      <c r="H20" s="15">
        <f>Pagecount!N12</f>
        <v>40210.748299319726</v>
      </c>
      <c r="Q20" s="15">
        <v>40433</v>
      </c>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802.11y Production</dc:title>
  <dc:subject/>
  <dc:creator>Peter Ecclesine</dc:creator>
  <cp:keywords/>
  <dc:description/>
  <cp:lastModifiedBy>Cisco Systems, Inc.</cp:lastModifiedBy>
  <cp:lastPrinted>2004-11-19T06:33:11Z</cp:lastPrinted>
  <dcterms:created xsi:type="dcterms:W3CDTF">2004-07-14T16:37:20Z</dcterms:created>
  <dcterms:modified xsi:type="dcterms:W3CDTF">2008-09-26T16:07:53Z</dcterms:modified>
  <cp:category/>
  <cp:version/>
  <cp:contentType/>
  <cp:contentStatus/>
</cp:coreProperties>
</file>