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75" windowWidth="15480" windowHeight="11640" activeTab="0"/>
  </bookViews>
  <sheets>
    <sheet name="Title" sheetId="1" r:id="rId1"/>
    <sheet name="Instructions" sheetId="2" r:id="rId2"/>
    <sheet name="Assumptions &amp; Parameters" sheetId="3" r:id="rId3"/>
    <sheet name="Results Summary" sheetId="4" r:id="rId4"/>
    <sheet name="Backup" sheetId="5" r:id="rId5"/>
    <sheet name="References" sheetId="6" r:id="rId6"/>
  </sheets>
  <definedNames>
    <definedName name="be_difs" localSheetId="4">'Backup'!$C$23:$G$38</definedName>
    <definedName name="be_difs_1" localSheetId="4">'Backup'!$C$5:$G$20</definedName>
    <definedName name="be_difs_2" localSheetId="4">'Backup'!$C$41:$G$56</definedName>
    <definedName name="be_difs_3" localSheetId="4">'Backup'!$M$23:$Q$38</definedName>
    <definedName name="be_difs_4" localSheetId="4">'Backup'!$M$41:$Q$56</definedName>
    <definedName name="be_difs_5" localSheetId="4">'Backup'!$M$5:$Q$20</definedName>
    <definedName name="voice_difs" localSheetId="4">'Backup'!$R$5:$V$20</definedName>
    <definedName name="voice_difs_1" localSheetId="4">'Backup'!$R$5:$V$20</definedName>
    <definedName name="voice_difs_2" localSheetId="4">'Backup'!$R$23:$V$38</definedName>
    <definedName name="voice_difs_3" localSheetId="4">'Backup'!#REF!</definedName>
    <definedName name="voice_difs_4" localSheetId="4">'Backup'!$R$41:$V$56</definedName>
    <definedName name="voice_difs_5" localSheetId="4">'Backup'!$H$41:$L$56</definedName>
    <definedName name="voice_difs_6" localSheetId="4">'Backup'!$H$23:$L$38</definedName>
    <definedName name="voice_difs_7" localSheetId="4">'Backup'!$H$5:$L$20</definedName>
  </definedNames>
  <calcPr fullCalcOnLoad="1"/>
</workbook>
</file>

<file path=xl/sharedStrings.xml><?xml version="1.0" encoding="utf-8"?>
<sst xmlns="http://schemas.openxmlformats.org/spreadsheetml/2006/main" count="89" uniqueCount="54">
  <si>
    <t>Submission</t>
  </si>
  <si>
    <t>Venue Date:</t>
  </si>
  <si>
    <t>IEEE P802.11 Wireless LANs</t>
  </si>
  <si>
    <t>Abstract:</t>
  </si>
  <si>
    <t>Subject:</t>
  </si>
  <si>
    <t>Author(s):</t>
  </si>
  <si>
    <t>First Author:</t>
  </si>
  <si>
    <t>Designator:</t>
  </si>
  <si>
    <t>References:</t>
  </si>
  <si>
    <t>Full Date:</t>
  </si>
  <si>
    <t>Srinivas Kandala, Qualcomm, Inc.</t>
  </si>
  <si>
    <t>Simulation Results for OBSS interference with 20/40 MHz Transmissions</t>
  </si>
  <si>
    <t>2001-01-16</t>
  </si>
  <si>
    <t xml:space="preserve"> January 2008</t>
  </si>
  <si>
    <t>Qualcomm, Inc.</t>
  </si>
  <si>
    <t>900 Arastradero Rd, Palo Alto, CA 94304</t>
  </si>
  <si>
    <t>Phone: (650) 475-1977</t>
  </si>
  <si>
    <t>Fax: (650) 475-1984</t>
  </si>
  <si>
    <t>email: kandala@qualcomm.com</t>
  </si>
  <si>
    <t>Four separate cases are simulated:</t>
  </si>
  <si>
    <t>(A total of 4*16*3 = 192 cases simulated)</t>
  </si>
  <si>
    <t>Secondary Channel Observation Time = PIFS</t>
  </si>
  <si>
    <t>Secondary Channel Observation Time = DIFS</t>
  </si>
  <si>
    <t>Number of MPDUs in A-MPDU = 10</t>
  </si>
  <si>
    <t>BE Parameters</t>
  </si>
  <si>
    <t>Voice Parameters</t>
  </si>
  <si>
    <t>Number of 40 MHz Stations</t>
  </si>
  <si>
    <t>Number of Stations in Secondary</t>
  </si>
  <si>
    <t>Throughput on 40 MHz Stations</t>
  </si>
  <si>
    <t>Throughput on Secondary  Stations (all 11a)</t>
  </si>
  <si>
    <t>Difference BE (%)</t>
  </si>
  <si>
    <t>Difference VO (%)</t>
  </si>
  <si>
    <t>Number of 40 MHz Transmissions</t>
  </si>
  <si>
    <t>Number of 20 MHz Transmissions</t>
  </si>
  <si>
    <t>Number of 20 MHz Transmissions in Secondary</t>
  </si>
  <si>
    <t xml:space="preserve">No A-MPDUs </t>
  </si>
  <si>
    <t>No. of MPDUs in A-MPDU = 10</t>
  </si>
  <si>
    <t>No.of MPDUs in A-MPDU = 40</t>
  </si>
  <si>
    <t>1. IEEE 802.11n Draft 3.02</t>
  </si>
  <si>
    <r>
      <t>1.</t>
    </r>
    <r>
      <rPr>
        <sz val="7"/>
        <rFont val="Times New Roman"/>
        <family val="1"/>
      </rPr>
      <t xml:space="preserve">       </t>
    </r>
    <r>
      <rPr>
        <sz val="10"/>
        <rFont val="Arial"/>
        <family val="2"/>
      </rPr>
      <t>Simulation time = 100 seconds</t>
    </r>
  </si>
  <si>
    <r>
      <t>2.</t>
    </r>
    <r>
      <rPr>
        <sz val="7"/>
        <rFont val="Times New Roman"/>
        <family val="1"/>
      </rPr>
      <t xml:space="preserve">       </t>
    </r>
    <r>
      <rPr>
        <sz val="10"/>
        <rFont val="Arial"/>
        <family val="2"/>
      </rPr>
      <t>40 MHz Transmission rate in Primary = 270 Mbps, mixed mode preamble</t>
    </r>
  </si>
  <si>
    <r>
      <t>3.</t>
    </r>
    <r>
      <rPr>
        <sz val="7"/>
        <rFont val="Times New Roman"/>
        <family val="1"/>
      </rPr>
      <t xml:space="preserve">       </t>
    </r>
    <r>
      <rPr>
        <sz val="10"/>
        <rFont val="Arial"/>
        <family val="2"/>
      </rPr>
      <t>20 MHz Transmission rate in Primary = 130 Mbps, mixed mode preamble</t>
    </r>
  </si>
  <si>
    <r>
      <t>4.</t>
    </r>
    <r>
      <rPr>
        <sz val="7"/>
        <rFont val="Times New Roman"/>
        <family val="1"/>
      </rPr>
      <t xml:space="preserve">       </t>
    </r>
    <r>
      <rPr>
        <sz val="10"/>
        <rFont val="Arial"/>
        <family val="2"/>
      </rPr>
      <t>20 MHz Transmission rate in Secondary = 54 Mbps</t>
    </r>
  </si>
  <si>
    <r>
      <t>5.</t>
    </r>
    <r>
      <rPr>
        <sz val="7"/>
        <rFont val="Times New Roman"/>
        <family val="1"/>
      </rPr>
      <t xml:space="preserve">       </t>
    </r>
    <r>
      <rPr>
        <sz val="10"/>
        <rFont val="Arial"/>
        <family val="2"/>
      </rPr>
      <t>Number of 20/40 MHz streams in Primary = 1 to 4</t>
    </r>
  </si>
  <si>
    <r>
      <t>6.</t>
    </r>
    <r>
      <rPr>
        <sz val="7"/>
        <rFont val="Times New Roman"/>
        <family val="1"/>
      </rPr>
      <t xml:space="preserve">       </t>
    </r>
    <r>
      <rPr>
        <sz val="10"/>
        <rFont val="Arial"/>
        <family val="2"/>
      </rPr>
      <t>Number of 20 MHz streams in secondary = 1 to 4</t>
    </r>
  </si>
  <si>
    <r>
      <t>7.</t>
    </r>
    <r>
      <rPr>
        <sz val="7"/>
        <rFont val="Times New Roman"/>
        <family val="1"/>
      </rPr>
      <t xml:space="preserve">       </t>
    </r>
    <r>
      <rPr>
        <sz val="10"/>
        <rFont val="Arial"/>
        <family val="2"/>
      </rPr>
      <t>Number of MPDUs in AMPDU (in primary transmissions) = No A-MPDU, 10 and 40</t>
    </r>
  </si>
  <si>
    <r>
      <t>8.</t>
    </r>
    <r>
      <rPr>
        <sz val="7"/>
        <rFont val="Times New Roman"/>
        <family val="1"/>
      </rPr>
      <t xml:space="preserve">       </t>
    </r>
    <r>
      <rPr>
        <sz val="10"/>
        <rFont val="Arial"/>
        <family val="2"/>
      </rPr>
      <t>All networks are fully loaded with infinite depth buffers</t>
    </r>
  </si>
  <si>
    <r>
      <t>9.</t>
    </r>
    <r>
      <rPr>
        <sz val="7"/>
        <rFont val="Times New Roman"/>
        <family val="1"/>
      </rPr>
      <t xml:space="preserve">       </t>
    </r>
    <r>
      <rPr>
        <sz val="10"/>
        <rFont val="Arial"/>
        <family val="2"/>
      </rPr>
      <t>Ethernet frames of 1514 bytes are assumed – the Ethernet headers are stripped and 802.3 and LLC headers added to it</t>
    </r>
  </si>
  <si>
    <r>
      <t>1.</t>
    </r>
    <r>
      <rPr>
        <sz val="7"/>
        <rFont val="Times New Roman"/>
        <family val="1"/>
      </rPr>
      <t xml:space="preserve">       </t>
    </r>
    <r>
      <rPr>
        <sz val="10"/>
        <rFont val="Arial"/>
        <family val="2"/>
      </rPr>
      <t>PIFS observation time on secondary, all traffic uses BE parameters</t>
    </r>
  </si>
  <si>
    <r>
      <t>2.</t>
    </r>
    <r>
      <rPr>
        <sz val="7"/>
        <rFont val="Times New Roman"/>
        <family val="1"/>
      </rPr>
      <t xml:space="preserve">       </t>
    </r>
    <r>
      <rPr>
        <sz val="10"/>
        <rFont val="Arial"/>
        <family val="2"/>
      </rPr>
      <t>PIFS observation time on secondary, all traffic uses VO parameters (but TXOP Size is set to 0)</t>
    </r>
  </si>
  <si>
    <r>
      <t>3.</t>
    </r>
    <r>
      <rPr>
        <sz val="7"/>
        <rFont val="Times New Roman"/>
        <family val="1"/>
      </rPr>
      <t xml:space="preserve">       </t>
    </r>
    <r>
      <rPr>
        <sz val="10"/>
        <rFont val="Arial"/>
        <family val="2"/>
      </rPr>
      <t>DIFS observation time on secondary, all traffic uses BE parameters</t>
    </r>
  </si>
  <si>
    <r>
      <t>4.</t>
    </r>
    <r>
      <rPr>
        <sz val="7"/>
        <rFont val="Times New Roman"/>
        <family val="1"/>
      </rPr>
      <t xml:space="preserve">       </t>
    </r>
    <r>
      <rPr>
        <sz val="10"/>
        <rFont val="Arial"/>
        <family val="2"/>
      </rPr>
      <t>DIFS observation time on secondary, all traffic uses VO parameters (but TXOP Size is set to 0)</t>
    </r>
  </si>
  <si>
    <t>Srinivas Kandala, Ali Raisinnia, Guido Frederiks, VK Jones</t>
  </si>
  <si>
    <t>doc.: IEEE 802.11-08/0145r0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</si>
</sst>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6">
    <font>
      <sz val="10"/>
      <name val="Arial"/>
      <family val="0"/>
    </font>
    <font>
      <b/>
      <sz val="14"/>
      <name val="Times New Roman"/>
      <family val="1"/>
    </font>
    <font>
      <sz val="12"/>
      <name val="Times New Roman"/>
      <family val="1"/>
    </font>
    <font>
      <sz val="11"/>
      <name val="Times New Roman"/>
      <family val="1"/>
    </font>
    <font>
      <b/>
      <u val="single"/>
      <sz val="11"/>
      <name val="Times New Roman"/>
      <family val="1"/>
    </font>
    <font>
      <u val="single"/>
      <sz val="11"/>
      <name val="Times New Roman"/>
      <family val="1"/>
    </font>
    <font>
      <b/>
      <sz val="11"/>
      <name val="Times New Roman"/>
      <family val="1"/>
    </font>
    <font>
      <i/>
      <sz val="11"/>
      <name val="Times New Roman"/>
      <family val="1"/>
    </font>
    <font>
      <b/>
      <sz val="12"/>
      <color indexed="12"/>
      <name val="Times New Roman"/>
      <family val="1"/>
    </font>
    <font>
      <b/>
      <sz val="12"/>
      <name val="Arial"/>
      <family val="2"/>
    </font>
    <font>
      <u val="single"/>
      <sz val="10"/>
      <color indexed="36"/>
      <name val="Arial"/>
      <family val="0"/>
    </font>
    <font>
      <u val="single"/>
      <sz val="10"/>
      <color indexed="12"/>
      <name val="Arial"/>
      <family val="0"/>
    </font>
    <font>
      <sz val="8"/>
      <name val="Arial"/>
      <family val="0"/>
    </font>
    <font>
      <sz val="10"/>
      <color indexed="10"/>
      <name val="Arial"/>
      <family val="0"/>
    </font>
    <font>
      <b/>
      <sz val="10"/>
      <name val="Arial"/>
      <family val="2"/>
    </font>
    <font>
      <sz val="7"/>
      <name val="Times New Roman"/>
      <family val="1"/>
    </font>
  </fonts>
  <fills count="2">
    <fill>
      <patternFill/>
    </fill>
    <fill>
      <patternFill patternType="gray125"/>
    </fill>
  </fills>
  <borders count="33">
    <border>
      <left/>
      <right/>
      <top/>
      <bottom/>
      <diagonal/>
    </border>
    <border>
      <left>
        <color indexed="63"/>
      </left>
      <right>
        <color indexed="63"/>
      </right>
      <top>
        <color indexed="63"/>
      </top>
      <bottom style="mediu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style="medium"/>
      <bottom style="medium"/>
    </border>
    <border>
      <left>
        <color indexed="63"/>
      </left>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style="medium"/>
      <bottom style="thin"/>
    </border>
    <border>
      <left style="thin"/>
      <right>
        <color indexed="63"/>
      </right>
      <top style="medium"/>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8"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9" fillId="0" borderId="0" xfId="0" applyFont="1" applyAlignment="1">
      <alignment/>
    </xf>
    <xf numFmtId="49" fontId="0" fillId="0" borderId="0" xfId="0" applyNumberFormat="1" applyAlignment="1">
      <alignment/>
    </xf>
    <xf numFmtId="49" fontId="2" fillId="0" borderId="0" xfId="0" applyNumberFormat="1" applyFont="1" applyAlignment="1">
      <alignment horizontal="left"/>
    </xf>
    <xf numFmtId="0" fontId="0" fillId="0" borderId="0" xfId="0" applyAlignment="1">
      <alignment wrapText="1"/>
    </xf>
    <xf numFmtId="0" fontId="0" fillId="0" borderId="0" xfId="0" applyAlignment="1">
      <alignment horizontal="center"/>
    </xf>
    <xf numFmtId="0" fontId="13" fillId="0" borderId="0" xfId="0" applyFont="1" applyAlignment="1">
      <alignment horizontal="center"/>
    </xf>
    <xf numFmtId="0" fontId="0" fillId="0" borderId="2" xfId="0" applyBorder="1" applyAlignment="1">
      <alignment wrapText="1"/>
    </xf>
    <xf numFmtId="0" fontId="0" fillId="0" borderId="3" xfId="0" applyBorder="1" applyAlignment="1">
      <alignment wrapText="1"/>
    </xf>
    <xf numFmtId="0" fontId="13" fillId="0" borderId="4" xfId="0" applyFont="1" applyBorder="1" applyAlignment="1">
      <alignment horizontal="center"/>
    </xf>
    <xf numFmtId="0" fontId="0" fillId="0" borderId="5" xfId="0" applyBorder="1" applyAlignment="1">
      <alignment wrapText="1"/>
    </xf>
    <xf numFmtId="0" fontId="13" fillId="0" borderId="6" xfId="0" applyFont="1" applyBorder="1" applyAlignment="1">
      <alignment horizontal="center"/>
    </xf>
    <xf numFmtId="0" fontId="0" fillId="0" borderId="7" xfId="0" applyBorder="1" applyAlignment="1">
      <alignment wrapText="1"/>
    </xf>
    <xf numFmtId="0" fontId="0" fillId="0" borderId="7" xfId="0" applyBorder="1" applyAlignment="1">
      <alignment horizontal="center"/>
    </xf>
    <xf numFmtId="0" fontId="0" fillId="0" borderId="8" xfId="0" applyBorder="1" applyAlignment="1">
      <alignment/>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4" xfId="0" applyBorder="1" applyAlignment="1">
      <alignment wrapText="1"/>
    </xf>
    <xf numFmtId="0" fontId="0" fillId="0" borderId="6"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horizontal="center"/>
    </xf>
    <xf numFmtId="0" fontId="0" fillId="0" borderId="21" xfId="0" applyBorder="1" applyAlignment="1">
      <alignment/>
    </xf>
    <xf numFmtId="0" fontId="13" fillId="0" borderId="3" xfId="0" applyFont="1" applyBorder="1" applyAlignment="1">
      <alignment horizontal="center"/>
    </xf>
    <xf numFmtId="0" fontId="13" fillId="0" borderId="5" xfId="0" applyFont="1" applyBorder="1" applyAlignment="1">
      <alignment horizontal="center"/>
    </xf>
    <xf numFmtId="0" fontId="0" fillId="0" borderId="22" xfId="0" applyBorder="1" applyAlignment="1">
      <alignment wrapText="1"/>
    </xf>
    <xf numFmtId="0" fontId="0" fillId="0" borderId="23" xfId="0" applyBorder="1" applyAlignment="1">
      <alignment wrapText="1"/>
    </xf>
    <xf numFmtId="0" fontId="14" fillId="0" borderId="23" xfId="0" applyFont="1"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29" xfId="0" applyBorder="1" applyAlignment="1">
      <alignment wrapText="1"/>
    </xf>
    <xf numFmtId="0" fontId="0" fillId="0" borderId="20" xfId="0" applyBorder="1" applyAlignment="1">
      <alignment/>
    </xf>
    <xf numFmtId="0" fontId="0" fillId="0" borderId="0" xfId="0" applyBorder="1" applyAlignment="1">
      <alignment/>
    </xf>
    <xf numFmtId="0" fontId="0" fillId="0" borderId="20" xfId="0" applyBorder="1" applyAlignment="1">
      <alignment wrapText="1"/>
    </xf>
    <xf numFmtId="0" fontId="0" fillId="0" borderId="0" xfId="0" applyBorder="1" applyAlignment="1">
      <alignment wrapText="1"/>
    </xf>
    <xf numFmtId="0" fontId="0" fillId="0" borderId="21" xfId="0" applyBorder="1" applyAlignment="1">
      <alignment wrapText="1"/>
    </xf>
    <xf numFmtId="0" fontId="0" fillId="0" borderId="30" xfId="0" applyBorder="1" applyAlignment="1">
      <alignment/>
    </xf>
    <xf numFmtId="0" fontId="0" fillId="0" borderId="1" xfId="0" applyBorder="1" applyAlignment="1">
      <alignment/>
    </xf>
    <xf numFmtId="0" fontId="0" fillId="0" borderId="31" xfId="0" applyBorder="1" applyAlignment="1">
      <alignment/>
    </xf>
    <xf numFmtId="0" fontId="13" fillId="0" borderId="25" xfId="0" applyFont="1" applyBorder="1" applyAlignment="1">
      <alignment horizontal="center"/>
    </xf>
    <xf numFmtId="0" fontId="13" fillId="0" borderId="11" xfId="0" applyFont="1" applyBorder="1" applyAlignment="1">
      <alignment horizontal="center"/>
    </xf>
    <xf numFmtId="0" fontId="13" fillId="0" borderId="27" xfId="0" applyFont="1" applyBorder="1" applyAlignment="1">
      <alignment horizontal="center"/>
    </xf>
    <xf numFmtId="0" fontId="13" fillId="0" borderId="29" xfId="0" applyFont="1" applyBorder="1" applyAlignment="1">
      <alignment horizontal="center"/>
    </xf>
    <xf numFmtId="0" fontId="13" fillId="0" borderId="20" xfId="0" applyFont="1" applyBorder="1" applyAlignment="1">
      <alignment horizontal="center"/>
    </xf>
    <xf numFmtId="0" fontId="13" fillId="0" borderId="21" xfId="0" applyFont="1" applyBorder="1" applyAlignment="1">
      <alignment horizontal="center"/>
    </xf>
    <xf numFmtId="0" fontId="13" fillId="0" borderId="30" xfId="0" applyFont="1" applyBorder="1" applyAlignment="1">
      <alignment horizontal="center"/>
    </xf>
    <xf numFmtId="0" fontId="13" fillId="0" borderId="31" xfId="0" applyFont="1" applyBorder="1" applyAlignment="1">
      <alignment horizontal="center"/>
    </xf>
    <xf numFmtId="0" fontId="13" fillId="0" borderId="32" xfId="0" applyFont="1" applyBorder="1" applyAlignment="1">
      <alignment horizontal="center"/>
    </xf>
    <xf numFmtId="0" fontId="13" fillId="0" borderId="8" xfId="0" applyFont="1" applyBorder="1" applyAlignment="1">
      <alignment horizontal="center"/>
    </xf>
    <xf numFmtId="0" fontId="0" fillId="0" borderId="0" xfId="0" applyFont="1" applyAlignment="1">
      <alignment horizontal="left" indent="2"/>
    </xf>
    <xf numFmtId="0" fontId="0" fillId="0" borderId="0" xfId="0" applyFont="1" applyAlignment="1">
      <alignment/>
    </xf>
    <xf numFmtId="0" fontId="0" fillId="0" borderId="0" xfId="0" applyFont="1" applyAlignment="1">
      <alignment/>
    </xf>
    <xf numFmtId="0" fontId="8" fillId="0" borderId="0" xfId="0" applyFont="1" applyBorder="1" applyAlignment="1">
      <alignment horizontal="left" vertical="top" wrapText="1"/>
    </xf>
    <xf numFmtId="0" fontId="8" fillId="0" borderId="0" xfId="0" applyFont="1" applyBorder="1" applyAlignment="1">
      <alignment horizontal="justify" vertical="top" wrapText="1"/>
    </xf>
    <xf numFmtId="0" fontId="0" fillId="0" borderId="9" xfId="0" applyBorder="1" applyAlignment="1">
      <alignment horizontal="center" wrapText="1"/>
    </xf>
    <xf numFmtId="0" fontId="0" fillId="0" borderId="7" xfId="0" applyBorder="1" applyAlignment="1">
      <alignment horizontal="center" wrapText="1"/>
    </xf>
    <xf numFmtId="0" fontId="0" fillId="0" borderId="25" xfId="0" applyBorder="1" applyAlignment="1">
      <alignment horizontal="center" wrapText="1"/>
    </xf>
    <xf numFmtId="0" fontId="0" fillId="0" borderId="26" xfId="0" applyBorder="1" applyAlignment="1">
      <alignment horizontal="center" wrapText="1"/>
    </xf>
    <xf numFmtId="0" fontId="0" fillId="0" borderId="11" xfId="0" applyBorder="1" applyAlignment="1">
      <alignment horizontal="center" wrapText="1"/>
    </xf>
    <xf numFmtId="0" fontId="0" fillId="0" borderId="30" xfId="0" applyBorder="1" applyAlignment="1">
      <alignment horizontal="center" wrapText="1"/>
    </xf>
    <xf numFmtId="0" fontId="0" fillId="0" borderId="1" xfId="0" applyBorder="1" applyAlignment="1">
      <alignment horizontal="center" wrapText="1"/>
    </xf>
    <xf numFmtId="0" fontId="0" fillId="0" borderId="31" xfId="0"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Simulation results are provided when there is a 20/40 MHz network and a second 20 MHz legacy (802.11a/g) network in the secondary. The results appear to show that robust throughput can be achieved on both the networks with the current 20/40 MHz Transmission decision algorithm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8</xdr:col>
      <xdr:colOff>542925</xdr:colOff>
      <xdr:row>51</xdr:row>
      <xdr:rowOff>66675</xdr:rowOff>
    </xdr:to>
    <xdr:sp>
      <xdr:nvSpPr>
        <xdr:cNvPr id="1" name="TextBox 1"/>
        <xdr:cNvSpPr txBox="1">
          <a:spLocks noChangeArrowheads="1"/>
        </xdr:cNvSpPr>
      </xdr:nvSpPr>
      <xdr:spPr>
        <a:xfrm>
          <a:off x="47625" y="47625"/>
          <a:ext cx="5372100" cy="8277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sng" baseline="0">
              <a:latin typeface="Times New Roman"/>
              <a:ea typeface="Times New Roman"/>
              <a:cs typeface="Times New Roman"/>
            </a:rPr>
            <a:t>802.11 Spreadsheet Template Instructions</a:t>
          </a:r>
          <a:r>
            <a:rPr lang="en-US" cap="none" sz="1100" b="0" i="0" u="none" baseline="0">
              <a:latin typeface="Times New Roman"/>
              <a:ea typeface="Times New Roman"/>
              <a:cs typeface="Times New Roman"/>
            </a:rPr>
            <a:t>
To properly identify your Excel spreadsheet as an IEEE 802.11 Submission
there are </a:t>
          </a:r>
          <a:r>
            <a:rPr lang="en-US" cap="none" sz="1100" b="0" i="0" u="sng" baseline="0">
              <a:latin typeface="Times New Roman"/>
              <a:ea typeface="Times New Roman"/>
              <a:cs typeface="Times New Roman"/>
            </a:rPr>
            <a:t>4 steps</a:t>
          </a:r>
          <a:r>
            <a:rPr lang="en-US" cap="none" sz="1100" b="0" i="0" u="none" baseline="0">
              <a:latin typeface="Times New Roman"/>
              <a:ea typeface="Times New Roman"/>
              <a:cs typeface="Times New Roman"/>
            </a:rPr>
            <a:t> that you must complete, and </a:t>
          </a:r>
          <a:r>
            <a:rPr lang="en-US" cap="none" sz="1100" b="0" i="0" u="sng" baseline="0">
              <a:latin typeface="Times New Roman"/>
              <a:ea typeface="Times New Roman"/>
              <a:cs typeface="Times New Roman"/>
            </a:rPr>
            <a:t>9 data fields</a:t>
          </a:r>
          <a:r>
            <a:rPr lang="en-US" cap="none" sz="1100" b="0" i="0" u="none" baseline="0">
              <a:latin typeface="Times New Roman"/>
              <a:ea typeface="Times New Roman"/>
              <a:cs typeface="Times New Roman"/>
            </a:rPr>
            <a:t> that you must fill in.
Step 1. Obtain a document number.
Step 2. Title sheet - fill in the document designator, venue date (e.g. March 2005), first author's name, spreadsheet subject title text, full date (in the ISO 8601 format of YYYY-MM-DD), the complete author(s) details and the abstract text (a total of 7 data fields).
        Document designator example "doc.: IEEE 802.11-04/9876r0"         , or
                                                     "doc.: IEEE 802.11-04/9876r2"
Step 3. Menu select File, Properties.  Fill in the 2 data fields:
        Author field = first author's name
        Company field = first author's company name
Step 4. Delete this instructions sheet.
</a:t>
          </a:r>
          <a:r>
            <a:rPr lang="en-US" cap="none" sz="1100" b="0" i="0" u="sng" baseline="0">
              <a:latin typeface="Times New Roman"/>
              <a:ea typeface="Times New Roman"/>
              <a:cs typeface="Times New Roman"/>
            </a:rPr>
            <a:t>Excel Spreadsheet Submission Preparation Summary:</a:t>
          </a:r>
          <a:r>
            <a:rPr lang="en-US" cap="none" sz="1100" b="0" i="0" u="none" baseline="0">
              <a:latin typeface="Times New Roman"/>
              <a:ea typeface="Times New Roman"/>
              <a:cs typeface="Times New Roman"/>
            </a:rPr>
            <a:t>
Things to do:   4              Fields to fill in: 9
</a:t>
          </a:r>
          <a:r>
            <a:rPr lang="en-US" cap="none" sz="1100" b="0" i="0" u="sng" baseline="0">
              <a:latin typeface="Times New Roman"/>
              <a:ea typeface="Times New Roman"/>
              <a:cs typeface="Times New Roman"/>
            </a:rPr>
            <a:t>Recommendations:</a:t>
          </a:r>
          <a:r>
            <a:rPr lang="en-US" cap="none" sz="1100" b="0" i="0" u="none" baseline="0">
              <a:latin typeface="Times New Roman"/>
              <a:ea typeface="Times New Roman"/>
              <a:cs typeface="Times New Roman"/>
            </a:rPr>
            <a:t>
a) Always start a new document using the template, rather than using someone else's document.
b) For quick and easy creation of new 802.11 submissions, place the 802.11 template files in the template folder area on your computer.  Typical locations are:
        c:\Program Files\Microsoft Office\Templates\802.11,              or,
        c:\Documents and Settings\User Name\Application Data\Microsoft\Templates\802.11
To create a new submission, menu select File, New, then select the appropriate 802.11 template file.                                             </a:t>
          </a:r>
          <a:r>
            <a:rPr lang="en-US" cap="none" sz="1100" b="0" i="1" u="none" baseline="0">
              <a:latin typeface="Times New Roman"/>
              <a:ea typeface="Times New Roman"/>
              <a:cs typeface="Times New Roman"/>
            </a:rPr>
            <a:t>[scroll down this sheet for more instructions]</a:t>
          </a:r>
          <a:r>
            <a:rPr lang="en-US" cap="none" sz="1100" b="0" i="0" u="none" baseline="0">
              <a:latin typeface="Times New Roman"/>
              <a:ea typeface="Times New Roman"/>
              <a:cs typeface="Times New Roman"/>
            </a:rPr>
            <a:t>
c) </a:t>
          </a:r>
          <a:r>
            <a:rPr lang="en-US" cap="none" sz="1100" b="1" i="0" u="none" baseline="0">
              <a:latin typeface="Times New Roman"/>
              <a:ea typeface="Times New Roman"/>
              <a:cs typeface="Times New Roman"/>
            </a:rPr>
            <a:t>When you update or revise your document</a:t>
          </a:r>
          <a:r>
            <a:rPr lang="en-US" cap="none" sz="1100" b="0" i="0" u="none" baseline="0">
              <a:latin typeface="Times New Roman"/>
              <a:ea typeface="Times New Roman"/>
              <a:cs typeface="Times New Roman"/>
            </a:rPr>
            <a:t>, remember to check all 7 fields in step 2 for the correct values.
d) When saving your spreadsheet, select the Title sheet so that the title sheet will be the first thing readers see when they open the file.
e) The template, and hence your submitted spreadsheet, contains a macro to set the worksheet headers and footers from the data entered on the Title sheet.  The presence of the macros may cause a warning message to appear on some systems when the file is opened.  You may safely disable the macros when opening the file, unless you intend to print one or more worksheets.  Prior to printing, open the file with the macros enabled.
rev: de2004-11-18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B3" sqref="B3"/>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7</v>
      </c>
      <c r="B3" s="1" t="s">
        <v>53</v>
      </c>
    </row>
    <row r="4" spans="1:6" ht="18.75">
      <c r="A4" s="2" t="s">
        <v>1</v>
      </c>
      <c r="B4" s="8" t="s">
        <v>13</v>
      </c>
      <c r="F4" s="8"/>
    </row>
    <row r="5" spans="1:2" ht="15.75">
      <c r="A5" s="2" t="s">
        <v>6</v>
      </c>
      <c r="B5" s="13" t="s">
        <v>10</v>
      </c>
    </row>
    <row r="6" s="3" customFormat="1" ht="16.5" thickBot="1"/>
    <row r="7" spans="1:2" s="4" customFormat="1" ht="18.75">
      <c r="A7" s="4" t="s">
        <v>4</v>
      </c>
      <c r="B7" s="10" t="s">
        <v>11</v>
      </c>
    </row>
    <row r="8" spans="1:2" ht="15.75">
      <c r="A8" s="2" t="s">
        <v>9</v>
      </c>
      <c r="B8" s="7" t="s">
        <v>12</v>
      </c>
    </row>
    <row r="9" spans="1:9" ht="15.75">
      <c r="A9" s="2" t="s">
        <v>5</v>
      </c>
      <c r="B9" s="9" t="s">
        <v>52</v>
      </c>
      <c r="C9" s="9"/>
      <c r="D9" s="9"/>
      <c r="E9" s="9"/>
      <c r="F9" s="9"/>
      <c r="G9" s="9"/>
      <c r="H9" s="9"/>
      <c r="I9" s="9"/>
    </row>
    <row r="10" spans="2:9" ht="15.75">
      <c r="B10" s="9" t="s">
        <v>14</v>
      </c>
      <c r="C10" s="9"/>
      <c r="D10" s="9"/>
      <c r="E10" s="9"/>
      <c r="F10" s="9"/>
      <c r="G10" s="9"/>
      <c r="H10" s="9"/>
      <c r="I10" s="9"/>
    </row>
    <row r="11" spans="2:9" ht="15.75">
      <c r="B11" s="9" t="s">
        <v>15</v>
      </c>
      <c r="C11" s="9"/>
      <c r="D11" s="9"/>
      <c r="E11" s="9"/>
      <c r="F11" s="9"/>
      <c r="G11" s="9"/>
      <c r="H11" s="9"/>
      <c r="I11" s="9"/>
    </row>
    <row r="12" spans="2:9" ht="15.75">
      <c r="B12" s="9" t="s">
        <v>16</v>
      </c>
      <c r="C12" s="9"/>
      <c r="D12" s="9"/>
      <c r="E12" s="9"/>
      <c r="F12" s="9"/>
      <c r="G12" s="9"/>
      <c r="H12" s="9"/>
      <c r="I12" s="9"/>
    </row>
    <row r="13" spans="2:9" ht="15.75">
      <c r="B13" s="9" t="s">
        <v>17</v>
      </c>
      <c r="C13" s="9"/>
      <c r="D13" s="9"/>
      <c r="E13" s="9"/>
      <c r="F13" s="9"/>
      <c r="G13" s="9"/>
      <c r="H13" s="9"/>
      <c r="I13" s="9"/>
    </row>
    <row r="14" spans="2:9" ht="15.75">
      <c r="B14" s="9" t="s">
        <v>18</v>
      </c>
      <c r="C14" s="9"/>
      <c r="D14" s="9"/>
      <c r="E14" s="9"/>
      <c r="F14" s="9"/>
      <c r="G14" s="9"/>
      <c r="H14" s="9"/>
      <c r="I14" s="9"/>
    </row>
    <row r="15" ht="15.75">
      <c r="A15" s="2" t="s">
        <v>3</v>
      </c>
    </row>
    <row r="27" spans="1:5" ht="15.75" customHeight="1">
      <c r="A27" s="6"/>
      <c r="B27" s="73"/>
      <c r="C27" s="73"/>
      <c r="D27" s="73"/>
      <c r="E27" s="73"/>
    </row>
    <row r="28" spans="1:5" ht="15.75" customHeight="1">
      <c r="A28" s="4"/>
      <c r="B28" s="5"/>
      <c r="C28" s="5"/>
      <c r="D28" s="5"/>
      <c r="E28" s="5"/>
    </row>
    <row r="29" spans="1:5" ht="15.75" customHeight="1">
      <c r="A29" s="4"/>
      <c r="B29" s="72"/>
      <c r="C29" s="72"/>
      <c r="D29" s="72"/>
      <c r="E29" s="72"/>
    </row>
    <row r="30" spans="1:5" ht="15.75" customHeight="1">
      <c r="A30" s="4"/>
      <c r="B30" s="5"/>
      <c r="C30" s="5"/>
      <c r="D30" s="5"/>
      <c r="E30" s="5"/>
    </row>
    <row r="31" spans="1:5" ht="15.75" customHeight="1">
      <c r="A31" s="4"/>
      <c r="B31" s="72"/>
      <c r="C31" s="72"/>
      <c r="D31" s="72"/>
      <c r="E31" s="72"/>
    </row>
    <row r="32" spans="2:5" ht="15.75" customHeight="1">
      <c r="B32" s="72"/>
      <c r="C32" s="72"/>
      <c r="D32" s="72"/>
      <c r="E32" s="72"/>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D18"/>
  <sheetViews>
    <sheetView workbookViewId="0" topLeftCell="A1">
      <selection activeCell="M11" sqref="M11"/>
    </sheetView>
  </sheetViews>
  <sheetFormatPr defaultColWidth="9.140625" defaultRowHeight="12.75"/>
  <sheetData>
    <row r="1" spans="1:4" ht="12.75">
      <c r="A1" s="69" t="s">
        <v>39</v>
      </c>
      <c r="B1" s="70"/>
      <c r="C1" s="70"/>
      <c r="D1" s="70"/>
    </row>
    <row r="2" spans="1:4" ht="12.75">
      <c r="A2" s="69" t="s">
        <v>40</v>
      </c>
      <c r="B2" s="70"/>
      <c r="C2" s="70"/>
      <c r="D2" s="70"/>
    </row>
    <row r="3" spans="1:4" ht="12.75">
      <c r="A3" s="69" t="s">
        <v>41</v>
      </c>
      <c r="B3" s="70"/>
      <c r="C3" s="70"/>
      <c r="D3" s="70"/>
    </row>
    <row r="4" spans="1:4" ht="12.75">
      <c r="A4" s="69" t="s">
        <v>42</v>
      </c>
      <c r="B4" s="70"/>
      <c r="C4" s="70"/>
      <c r="D4" s="70"/>
    </row>
    <row r="5" spans="1:4" ht="12.75">
      <c r="A5" s="69" t="s">
        <v>43</v>
      </c>
      <c r="B5" s="70"/>
      <c r="C5" s="70"/>
      <c r="D5" s="70"/>
    </row>
    <row r="6" spans="1:4" ht="12.75">
      <c r="A6" s="69" t="s">
        <v>44</v>
      </c>
      <c r="B6" s="70"/>
      <c r="C6" s="70"/>
      <c r="D6" s="70"/>
    </row>
    <row r="7" spans="1:4" ht="12.75">
      <c r="A7" s="69" t="s">
        <v>45</v>
      </c>
      <c r="B7" s="70"/>
      <c r="C7" s="70"/>
      <c r="D7" s="70"/>
    </row>
    <row r="8" spans="1:4" ht="12.75">
      <c r="A8" s="69" t="s">
        <v>46</v>
      </c>
      <c r="B8" s="70"/>
      <c r="C8" s="70"/>
      <c r="D8" s="70"/>
    </row>
    <row r="9" spans="1:4" ht="12.75">
      <c r="A9" s="69" t="s">
        <v>47</v>
      </c>
      <c r="B9" s="70"/>
      <c r="C9" s="70"/>
      <c r="D9" s="70"/>
    </row>
    <row r="10" spans="1:4" ht="15.75">
      <c r="A10" s="2"/>
      <c r="B10" s="70"/>
      <c r="C10" s="70"/>
      <c r="D10" s="70"/>
    </row>
    <row r="11" spans="1:4" ht="12.75">
      <c r="A11" s="71" t="s">
        <v>19</v>
      </c>
      <c r="B11" s="70"/>
      <c r="C11" s="70"/>
      <c r="D11" s="70"/>
    </row>
    <row r="12" spans="1:4" ht="15.75">
      <c r="A12" s="2"/>
      <c r="B12" s="70"/>
      <c r="C12" s="70"/>
      <c r="D12" s="70"/>
    </row>
    <row r="13" spans="1:4" ht="12.75">
      <c r="A13" s="69" t="s">
        <v>48</v>
      </c>
      <c r="B13" s="70"/>
      <c r="C13" s="70"/>
      <c r="D13" s="70"/>
    </row>
    <row r="14" spans="1:4" ht="12.75">
      <c r="A14" s="69" t="s">
        <v>49</v>
      </c>
      <c r="B14" s="70"/>
      <c r="C14" s="70"/>
      <c r="D14" s="70"/>
    </row>
    <row r="15" spans="1:4" ht="12.75">
      <c r="A15" s="69" t="s">
        <v>50</v>
      </c>
      <c r="B15" s="70"/>
      <c r="C15" s="70"/>
      <c r="D15" s="70"/>
    </row>
    <row r="16" spans="1:4" ht="12.75">
      <c r="A16" s="69" t="s">
        <v>51</v>
      </c>
      <c r="B16" s="70"/>
      <c r="C16" s="70"/>
      <c r="D16" s="70"/>
    </row>
    <row r="17" spans="1:4" ht="15.75">
      <c r="A17" s="2"/>
      <c r="B17" s="70"/>
      <c r="C17" s="70"/>
      <c r="D17" s="70"/>
    </row>
    <row r="18" spans="1:4" ht="12.75">
      <c r="A18" s="71" t="s">
        <v>20</v>
      </c>
      <c r="B18" s="70"/>
      <c r="C18" s="70"/>
      <c r="D18" s="70"/>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4.xml><?xml version="1.0" encoding="utf-8"?>
<worksheet xmlns="http://schemas.openxmlformats.org/spreadsheetml/2006/main" xmlns:r="http://schemas.openxmlformats.org/officeDocument/2006/relationships">
  <dimension ref="A1:L20"/>
  <sheetViews>
    <sheetView workbookViewId="0" topLeftCell="C1">
      <selection activeCell="K23" sqref="K23"/>
    </sheetView>
  </sheetViews>
  <sheetFormatPr defaultColWidth="9.140625" defaultRowHeight="12.75"/>
  <cols>
    <col min="1" max="1" width="16.8515625" style="14" customWidth="1"/>
    <col min="2" max="2" width="16.57421875" style="14" customWidth="1"/>
    <col min="3" max="3" width="15.140625" style="14" customWidth="1"/>
    <col min="4" max="4" width="16.28125" style="14" customWidth="1"/>
    <col min="5" max="5" width="15.57421875" style="14" customWidth="1"/>
    <col min="6" max="6" width="15.8515625" style="14" customWidth="1"/>
    <col min="7" max="7" width="15.421875" style="14" customWidth="1"/>
    <col min="8" max="8" width="15.7109375" style="14" customWidth="1"/>
    <col min="9" max="9" width="14.7109375" style="14" customWidth="1"/>
    <col min="10" max="10" width="15.57421875" style="14" customWidth="1"/>
    <col min="11" max="11" width="16.8515625" style="15" customWidth="1"/>
    <col min="12" max="12" width="17.8515625" style="0" customWidth="1"/>
  </cols>
  <sheetData>
    <row r="1" spans="1:12" ht="13.5" thickBot="1">
      <c r="A1" s="26"/>
      <c r="B1" s="26"/>
      <c r="C1" s="74" t="s">
        <v>21</v>
      </c>
      <c r="D1" s="75"/>
      <c r="E1" s="75"/>
      <c r="F1" s="75"/>
      <c r="G1" s="75" t="s">
        <v>22</v>
      </c>
      <c r="H1" s="75"/>
      <c r="I1" s="75"/>
      <c r="J1" s="75"/>
      <c r="K1" s="23"/>
      <c r="L1" s="24"/>
    </row>
    <row r="2" spans="1:12" ht="26.25" thickBot="1">
      <c r="A2" s="26" t="s">
        <v>23</v>
      </c>
      <c r="B2" s="26"/>
      <c r="C2" s="74" t="s">
        <v>24</v>
      </c>
      <c r="D2" s="75"/>
      <c r="E2" s="75" t="s">
        <v>25</v>
      </c>
      <c r="F2" s="75"/>
      <c r="G2" s="75" t="s">
        <v>24</v>
      </c>
      <c r="H2" s="75"/>
      <c r="I2" s="75" t="s">
        <v>25</v>
      </c>
      <c r="J2" s="75"/>
      <c r="K2" s="23"/>
      <c r="L2" s="24"/>
    </row>
    <row r="3" spans="1:12" ht="39" thickBot="1">
      <c r="A3" s="26" t="s">
        <v>26</v>
      </c>
      <c r="B3" s="26" t="s">
        <v>27</v>
      </c>
      <c r="C3" s="25" t="s">
        <v>28</v>
      </c>
      <c r="D3" s="22" t="s">
        <v>29</v>
      </c>
      <c r="E3" s="22" t="s">
        <v>28</v>
      </c>
      <c r="F3" s="22" t="s">
        <v>29</v>
      </c>
      <c r="G3" s="22" t="s">
        <v>28</v>
      </c>
      <c r="H3" s="22" t="s">
        <v>29</v>
      </c>
      <c r="I3" s="22" t="s">
        <v>28</v>
      </c>
      <c r="J3" s="34" t="s">
        <v>29</v>
      </c>
      <c r="K3" s="67" t="s">
        <v>30</v>
      </c>
      <c r="L3" s="68" t="s">
        <v>31</v>
      </c>
    </row>
    <row r="4" spans="1:12" ht="12.75">
      <c r="A4" s="28"/>
      <c r="B4" s="28"/>
      <c r="C4" s="17"/>
      <c r="D4" s="31"/>
      <c r="E4" s="17"/>
      <c r="F4" s="31"/>
      <c r="G4" s="17"/>
      <c r="H4" s="31"/>
      <c r="I4" s="17"/>
      <c r="J4" s="35"/>
      <c r="K4" s="38"/>
      <c r="L4" s="39"/>
    </row>
    <row r="5" spans="1:12" ht="12.75">
      <c r="A5" s="29">
        <v>1</v>
      </c>
      <c r="B5" s="29">
        <v>1</v>
      </c>
      <c r="C5" s="18">
        <f>115.9876</f>
        <v>115.9876</v>
      </c>
      <c r="D5" s="32">
        <f>23.4901</f>
        <v>23.4901</v>
      </c>
      <c r="E5" s="18">
        <v>115.2223</v>
      </c>
      <c r="F5" s="32">
        <v>30.9862</v>
      </c>
      <c r="G5" s="18">
        <v>114.3922</v>
      </c>
      <c r="H5" s="32">
        <v>24.1058</v>
      </c>
      <c r="I5" s="18">
        <v>110.4224</v>
      </c>
      <c r="J5" s="36">
        <v>33.7251</v>
      </c>
      <c r="K5" s="40">
        <f aca="true" t="shared" si="0" ref="K5:K20">ROUND((((H5-D5)/H5)*100),0)</f>
        <v>3</v>
      </c>
      <c r="L5" s="19">
        <f aca="true" t="shared" si="1" ref="L5:L20">ROUND((((J5-F5)/I5)*100),0)</f>
        <v>2</v>
      </c>
    </row>
    <row r="6" spans="1:12" ht="12.75">
      <c r="A6" s="29">
        <v>2</v>
      </c>
      <c r="B6" s="29">
        <v>1</v>
      </c>
      <c r="C6" s="18">
        <f>(59.0749+59.4047)</f>
        <v>118.4796</v>
      </c>
      <c r="D6" s="32">
        <v>19.4017</v>
      </c>
      <c r="E6" s="18">
        <f>(46.8673+47.2477)</f>
        <v>94.11500000000001</v>
      </c>
      <c r="F6" s="32">
        <f>27.8157</f>
        <v>27.8157</v>
      </c>
      <c r="G6" s="18">
        <v>116.4467</v>
      </c>
      <c r="H6" s="32">
        <v>20.3143</v>
      </c>
      <c r="I6" s="18">
        <f>(43.9681+43.0884)</f>
        <v>87.0565</v>
      </c>
      <c r="J6" s="36">
        <v>33.1021</v>
      </c>
      <c r="K6" s="40">
        <f t="shared" si="0"/>
        <v>4</v>
      </c>
      <c r="L6" s="19">
        <f t="shared" si="1"/>
        <v>6</v>
      </c>
    </row>
    <row r="7" spans="1:12" ht="12.75">
      <c r="A7" s="29">
        <v>3</v>
      </c>
      <c r="B7" s="29">
        <v>1</v>
      </c>
      <c r="C7" s="18">
        <f>(38.3862+40.0273+39.189)</f>
        <v>117.60249999999999</v>
      </c>
      <c r="D7" s="32">
        <v>16.5224</v>
      </c>
      <c r="E7" s="18">
        <f>(28.3024+28.9537+28.5328)</f>
        <v>85.78890000000001</v>
      </c>
      <c r="F7" s="32">
        <f>25.203</f>
        <v>25.203</v>
      </c>
      <c r="G7" s="18">
        <v>115.4505</v>
      </c>
      <c r="H7" s="32">
        <v>17.6755</v>
      </c>
      <c r="I7" s="18">
        <f>(26.0332+25.9767+26.1168)</f>
        <v>78.1267</v>
      </c>
      <c r="J7" s="36">
        <f>32.5068</f>
        <v>32.5068</v>
      </c>
      <c r="K7" s="40">
        <f t="shared" si="0"/>
        <v>7</v>
      </c>
      <c r="L7" s="19">
        <f t="shared" si="1"/>
        <v>9</v>
      </c>
    </row>
    <row r="8" spans="1:12" ht="12.75">
      <c r="A8" s="29">
        <v>4</v>
      </c>
      <c r="B8" s="29">
        <v>1</v>
      </c>
      <c r="C8" s="18">
        <f>(29.0335+29.5947+29.7383+29.4524)</f>
        <v>117.8189</v>
      </c>
      <c r="D8" s="32">
        <f>13.967</f>
        <v>13.967</v>
      </c>
      <c r="E8" s="18">
        <f>(19.5058+20.2217+19.5223+19.7719)</f>
        <v>79.0217</v>
      </c>
      <c r="F8" s="32">
        <v>23.1623</v>
      </c>
      <c r="G8" s="18">
        <v>115.2404</v>
      </c>
      <c r="H8" s="32">
        <v>15.2286</v>
      </c>
      <c r="I8" s="18">
        <f>(17.7688+18.1327+17.5356+17.6499)</f>
        <v>71.087</v>
      </c>
      <c r="J8" s="36">
        <v>32.3151</v>
      </c>
      <c r="K8" s="40">
        <f t="shared" si="0"/>
        <v>8</v>
      </c>
      <c r="L8" s="19">
        <f t="shared" si="1"/>
        <v>13</v>
      </c>
    </row>
    <row r="9" spans="1:12" ht="12.75">
      <c r="A9" s="29">
        <v>1</v>
      </c>
      <c r="B9" s="29">
        <v>2</v>
      </c>
      <c r="C9" s="18">
        <f>108.1702</f>
        <v>108.1702</v>
      </c>
      <c r="D9" s="32">
        <f>(13.4146+13.4218)</f>
        <v>26.836399999999998</v>
      </c>
      <c r="E9" s="18">
        <v>113.2156</v>
      </c>
      <c r="F9" s="32">
        <f>(13.2199+13.2591)</f>
        <v>26.479</v>
      </c>
      <c r="G9" s="18">
        <v>107.265</v>
      </c>
      <c r="H9" s="32">
        <v>27.1538</v>
      </c>
      <c r="I9" s="18">
        <v>110.2128</v>
      </c>
      <c r="J9" s="36">
        <f>(13.9059+14.0792)</f>
        <v>27.985100000000003</v>
      </c>
      <c r="K9" s="40">
        <f t="shared" si="0"/>
        <v>1</v>
      </c>
      <c r="L9" s="19">
        <f t="shared" si="1"/>
        <v>1</v>
      </c>
    </row>
    <row r="10" spans="1:12" ht="12.75">
      <c r="A10" s="29">
        <v>2</v>
      </c>
      <c r="B10" s="29">
        <v>2</v>
      </c>
      <c r="C10" s="18">
        <f>(52.4735+52.8049)</f>
        <v>105.2784</v>
      </c>
      <c r="D10" s="32">
        <f>(12.8245+12.7744)</f>
        <v>25.5989</v>
      </c>
      <c r="E10" s="18">
        <f>(44.9396+45.4565)</f>
        <v>90.39609999999999</v>
      </c>
      <c r="F10" s="32">
        <f>(12.316+12.4833)</f>
        <v>24.799300000000002</v>
      </c>
      <c r="G10" s="18">
        <v>104.359</v>
      </c>
      <c r="H10" s="32">
        <v>26.105</v>
      </c>
      <c r="I10" s="18">
        <f>(43.5912+42.9329)</f>
        <v>86.5241</v>
      </c>
      <c r="J10" s="36">
        <f>(13.7819+13.7627)</f>
        <v>27.544600000000003</v>
      </c>
      <c r="K10" s="40">
        <f t="shared" si="0"/>
        <v>2</v>
      </c>
      <c r="L10" s="19">
        <f t="shared" si="1"/>
        <v>3</v>
      </c>
    </row>
    <row r="11" spans="1:12" ht="12.75">
      <c r="A11" s="29">
        <v>3</v>
      </c>
      <c r="B11" s="29">
        <v>2</v>
      </c>
      <c r="C11" s="18">
        <f>(34.289+34.0401+34.6875)</f>
        <v>103.01660000000001</v>
      </c>
      <c r="D11" s="32">
        <f>(12.0749+11.9448)</f>
        <v>24.0197</v>
      </c>
      <c r="E11" s="18">
        <f>(27.1661+26.9612+27.0471)</f>
        <v>81.1744</v>
      </c>
      <c r="F11" s="32">
        <f>(11.7527+11.7785)</f>
        <v>23.5312</v>
      </c>
      <c r="G11" s="18">
        <v>101.9959</v>
      </c>
      <c r="H11" s="32">
        <v>24.571</v>
      </c>
      <c r="I11" s="18">
        <f>(26.0367+25.78+26.1168)</f>
        <v>77.9335</v>
      </c>
      <c r="J11" s="36">
        <f>(13.6363+13.5669)</f>
        <v>27.203200000000002</v>
      </c>
      <c r="K11" s="40">
        <f t="shared" si="0"/>
        <v>2</v>
      </c>
      <c r="L11" s="19">
        <f t="shared" si="1"/>
        <v>5</v>
      </c>
    </row>
    <row r="12" spans="1:12" ht="12.75">
      <c r="A12" s="29">
        <v>4</v>
      </c>
      <c r="B12" s="29">
        <v>2</v>
      </c>
      <c r="C12" s="18">
        <f>(24.8383+25.1266+25.3345+25.8305)</f>
        <v>101.12989999999999</v>
      </c>
      <c r="D12" s="32">
        <f>(11.333+11.2604)</f>
        <v>22.593400000000003</v>
      </c>
      <c r="E12" s="18">
        <f>(18.5342+18.5802+18.4305+18.3305)</f>
        <v>73.8754</v>
      </c>
      <c r="F12" s="32">
        <f>(11.0667+11.0449)</f>
        <v>22.111600000000003</v>
      </c>
      <c r="G12" s="18">
        <v>100.0037</v>
      </c>
      <c r="H12" s="32">
        <v>23.2556</v>
      </c>
      <c r="I12" s="18">
        <f>(17.4756+17.6993+17.5427+17.7488)</f>
        <v>70.46640000000001</v>
      </c>
      <c r="J12" s="36">
        <f>(13.4759+13.5256)</f>
        <v>27.0015</v>
      </c>
      <c r="K12" s="40">
        <f t="shared" si="0"/>
        <v>3</v>
      </c>
      <c r="L12" s="19">
        <f t="shared" si="1"/>
        <v>7</v>
      </c>
    </row>
    <row r="13" spans="1:12" ht="12.75">
      <c r="A13" s="29">
        <v>1</v>
      </c>
      <c r="B13" s="29">
        <v>3</v>
      </c>
      <c r="C13" s="18">
        <v>107.4879</v>
      </c>
      <c r="D13" s="32">
        <f>(8.844+8.9001+8.8357)</f>
        <v>26.5798</v>
      </c>
      <c r="E13" s="18">
        <f>112.3454</f>
        <v>112.3454</v>
      </c>
      <c r="F13" s="32">
        <f>(8.2167+8.2491+8.1899)</f>
        <v>24.655700000000003</v>
      </c>
      <c r="G13" s="18">
        <v>106.5397</v>
      </c>
      <c r="H13" s="32">
        <v>26.9835</v>
      </c>
      <c r="I13" s="18">
        <v>109.8524</v>
      </c>
      <c r="J13" s="36">
        <f>8.62+8.7085+8.5099</f>
        <v>25.8384</v>
      </c>
      <c r="K13" s="40">
        <f t="shared" si="0"/>
        <v>1</v>
      </c>
      <c r="L13" s="19">
        <f t="shared" si="1"/>
        <v>1</v>
      </c>
    </row>
    <row r="14" spans="1:12" ht="12.75">
      <c r="A14" s="29">
        <v>2</v>
      </c>
      <c r="B14" s="29">
        <v>3</v>
      </c>
      <c r="C14" s="18">
        <f>(51.7374+51.7107)</f>
        <v>103.44810000000001</v>
      </c>
      <c r="D14" s="32">
        <f>(8.6703+8.6503+8.6959)</f>
        <v>26.0165</v>
      </c>
      <c r="E14" s="18">
        <f>(43.835+44.916)</f>
        <v>88.751</v>
      </c>
      <c r="F14" s="32">
        <f>(7.9016+7.7218+7.8972)</f>
        <v>23.5206</v>
      </c>
      <c r="G14" s="18">
        <v>102.4512</v>
      </c>
      <c r="H14" s="32">
        <v>26.394</v>
      </c>
      <c r="I14" s="18">
        <f>(43.8314+43.4325)</f>
        <v>87.2639</v>
      </c>
      <c r="J14" s="36">
        <f>(8.4645+8.51+8.5277)</f>
        <v>25.5022</v>
      </c>
      <c r="K14" s="40">
        <f t="shared" si="0"/>
        <v>1</v>
      </c>
      <c r="L14" s="19">
        <f t="shared" si="1"/>
        <v>2</v>
      </c>
    </row>
    <row r="15" spans="1:12" ht="12.75">
      <c r="A15" s="29">
        <v>3</v>
      </c>
      <c r="B15" s="29">
        <v>3</v>
      </c>
      <c r="C15" s="18">
        <f>(33.4549+33.6625+33.8529)</f>
        <v>100.97030000000001</v>
      </c>
      <c r="D15" s="32">
        <f>(8.2998+8.3904+8.391)</f>
        <v>25.081199999999995</v>
      </c>
      <c r="E15" s="18">
        <f>(26.1886+26.3523+26.9105)</f>
        <v>79.4514</v>
      </c>
      <c r="F15" s="32">
        <f>(7.4761+7.5933+7.5379)</f>
        <v>22.6073</v>
      </c>
      <c r="G15" s="18">
        <v>99.0876</v>
      </c>
      <c r="H15" s="32">
        <v>25.5439</v>
      </c>
      <c r="I15" s="18">
        <f>(25.5499+25.8594+25.9531)</f>
        <v>77.36240000000001</v>
      </c>
      <c r="J15" s="36">
        <f>(8.4267+8.3773+8.513)</f>
        <v>25.317</v>
      </c>
      <c r="K15" s="40">
        <f t="shared" si="0"/>
        <v>2</v>
      </c>
      <c r="L15" s="19">
        <f t="shared" si="1"/>
        <v>4</v>
      </c>
    </row>
    <row r="16" spans="1:12" ht="12.75">
      <c r="A16" s="29">
        <v>4</v>
      </c>
      <c r="B16" s="29">
        <v>3</v>
      </c>
      <c r="C16" s="18">
        <f>(24.6834+24.0933+23.6851+24.9385)</f>
        <v>97.4003</v>
      </c>
      <c r="D16" s="32">
        <f>8.1531+8.1544+8.1102</f>
        <v>24.417700000000004</v>
      </c>
      <c r="E16" s="18">
        <f>(17.9678+17.7688+17.9666+18.241)</f>
        <v>71.9442</v>
      </c>
      <c r="F16" s="32">
        <f>(7.2557+7.2782+7.2303)</f>
        <v>21.7642</v>
      </c>
      <c r="G16" s="18">
        <v>96.6205</v>
      </c>
      <c r="H16" s="32">
        <v>24.9137</v>
      </c>
      <c r="I16" s="18">
        <f>(17.5898+17.7405+17.3237+17.4379)</f>
        <v>70.0919</v>
      </c>
      <c r="J16" s="36">
        <f>(8.3996+8.306+8.3852)</f>
        <v>25.090799999999994</v>
      </c>
      <c r="K16" s="40">
        <f t="shared" si="0"/>
        <v>2</v>
      </c>
      <c r="L16" s="19">
        <f t="shared" si="1"/>
        <v>5</v>
      </c>
    </row>
    <row r="17" spans="1:12" ht="12.75">
      <c r="A17" s="29">
        <v>1</v>
      </c>
      <c r="B17" s="29">
        <v>4</v>
      </c>
      <c r="C17" s="18">
        <f>107.2496</f>
        <v>107.2496</v>
      </c>
      <c r="D17" s="32">
        <f>(6.4501+6.6171+6.569+6.5127)</f>
        <v>26.148899999999998</v>
      </c>
      <c r="E17" s="18">
        <f>112.0251</f>
        <v>112.0251</v>
      </c>
      <c r="F17" s="32">
        <f>(5.7371+5.7141+5.7396+5.737)</f>
        <v>22.927799999999998</v>
      </c>
      <c r="G17" s="18">
        <v>106.1761</v>
      </c>
      <c r="H17" s="32">
        <v>26.6055</v>
      </c>
      <c r="I17" s="18">
        <v>109.6654</v>
      </c>
      <c r="J17" s="36">
        <f>(6.0138+5.9897+5.9828+6.0247)</f>
        <v>24.011</v>
      </c>
      <c r="K17" s="40">
        <f t="shared" si="0"/>
        <v>2</v>
      </c>
      <c r="L17" s="19">
        <f t="shared" si="1"/>
        <v>1</v>
      </c>
    </row>
    <row r="18" spans="1:12" ht="12.75">
      <c r="A18" s="29">
        <v>2</v>
      </c>
      <c r="B18" s="29">
        <v>4</v>
      </c>
      <c r="C18" s="18">
        <f>(51.3478+51.4044)</f>
        <v>102.7522</v>
      </c>
      <c r="D18" s="32">
        <f>(6.5291+6.35+6.3449+6.4291)</f>
        <v>25.653100000000002</v>
      </c>
      <c r="E18" s="18">
        <f>(44.1482+44.0564)</f>
        <v>88.2046</v>
      </c>
      <c r="F18" s="32">
        <f>(5.5301+5.4966+5.5419+5.5023)</f>
        <v>22.0709</v>
      </c>
      <c r="G18" s="18">
        <v>101.6451</v>
      </c>
      <c r="H18" s="32">
        <v>26.1589</v>
      </c>
      <c r="I18" s="18">
        <f>(43.2061+42.7245)</f>
        <v>85.9306</v>
      </c>
      <c r="J18" s="36">
        <f>(5.9329+5.9689+5.9771+5.876)</f>
        <v>23.754900000000003</v>
      </c>
      <c r="K18" s="40">
        <f t="shared" si="0"/>
        <v>2</v>
      </c>
      <c r="L18" s="19">
        <f t="shared" si="1"/>
        <v>2</v>
      </c>
    </row>
    <row r="19" spans="1:12" ht="12.75">
      <c r="A19" s="29">
        <v>3</v>
      </c>
      <c r="B19" s="29">
        <v>4</v>
      </c>
      <c r="C19" s="18">
        <f>(33.0539+32.6565+33.2639)</f>
        <v>98.9743</v>
      </c>
      <c r="D19" s="32">
        <f>(6.2807+6.2288+6.3212+6.2049)</f>
        <v>25.035600000000002</v>
      </c>
      <c r="E19" s="18">
        <f>(26.7021+26.4206+25.6034)</f>
        <v>78.7261</v>
      </c>
      <c r="F19" s="32">
        <f>(5.3262+5.3853+5.3467+5.299)</f>
        <v>21.3572</v>
      </c>
      <c r="G19" s="18">
        <v>97.8549</v>
      </c>
      <c r="H19" s="32">
        <v>25.6216</v>
      </c>
      <c r="I19" s="18">
        <f>(25.6458+25.9814+25.7989)</f>
        <v>77.4261</v>
      </c>
      <c r="J19" s="36">
        <f>(5.8407+5.8713+5.9027+5.8495)</f>
        <v>23.464199999999998</v>
      </c>
      <c r="K19" s="40">
        <f t="shared" si="0"/>
        <v>2</v>
      </c>
      <c r="L19" s="19">
        <f t="shared" si="1"/>
        <v>3</v>
      </c>
    </row>
    <row r="20" spans="1:12" ht="13.5" thickBot="1">
      <c r="A20" s="30">
        <v>4</v>
      </c>
      <c r="B20" s="30">
        <v>4</v>
      </c>
      <c r="C20" s="20">
        <f>(24.0257+23.3325+24.4093+24.3476)</f>
        <v>96.1151</v>
      </c>
      <c r="D20" s="33">
        <f>(6.1804+6.1462+6.1649+6.1428)</f>
        <v>24.6343</v>
      </c>
      <c r="E20" s="20">
        <f>(17.8383+17.9973+17.5498+17.644)</f>
        <v>71.02940000000001</v>
      </c>
      <c r="F20" s="33">
        <f>(5.2056+5.1866+5.1642+5.2212)</f>
        <v>20.7776</v>
      </c>
      <c r="G20" s="20">
        <v>95.2174</v>
      </c>
      <c r="H20" s="33">
        <v>25.1183</v>
      </c>
      <c r="I20" s="20">
        <f>(17.4414+17.4532+17.5981+17.359)</f>
        <v>69.8517</v>
      </c>
      <c r="J20" s="37">
        <f>(5.8281+5.8546+5.8556+5.928)</f>
        <v>23.4663</v>
      </c>
      <c r="K20" s="41">
        <f t="shared" si="0"/>
        <v>2</v>
      </c>
      <c r="L20" s="21">
        <f t="shared" si="1"/>
        <v>4</v>
      </c>
    </row>
  </sheetData>
  <mergeCells count="6">
    <mergeCell ref="C1:F1"/>
    <mergeCell ref="G1:J1"/>
    <mergeCell ref="C2:D2"/>
    <mergeCell ref="E2:F2"/>
    <mergeCell ref="G2:H2"/>
    <mergeCell ref="I2:J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X56"/>
  <sheetViews>
    <sheetView workbookViewId="0" topLeftCell="N1">
      <selection activeCell="S26" sqref="S26"/>
    </sheetView>
  </sheetViews>
  <sheetFormatPr defaultColWidth="9.140625" defaultRowHeight="12.75"/>
  <cols>
    <col min="1" max="1" width="16.8515625" style="14" customWidth="1"/>
    <col min="2" max="2" width="16.57421875" style="14" customWidth="1"/>
    <col min="3" max="3" width="14.57421875" style="14" customWidth="1"/>
    <col min="4" max="5" width="14.7109375" style="14" customWidth="1"/>
    <col min="6" max="6" width="15.28125" style="14" customWidth="1"/>
    <col min="7" max="7" width="15.57421875" style="14" customWidth="1"/>
    <col min="8" max="8" width="15.28125" style="14" customWidth="1"/>
    <col min="9" max="10" width="14.7109375" style="14" customWidth="1"/>
    <col min="11" max="11" width="14.8515625" style="14" customWidth="1"/>
    <col min="12" max="12" width="15.57421875" style="14" customWidth="1"/>
    <col min="13" max="13" width="15.421875" style="14" customWidth="1"/>
    <col min="14" max="15" width="14.7109375" style="14" customWidth="1"/>
    <col min="16" max="16" width="15.7109375" style="14" customWidth="1"/>
    <col min="17" max="17" width="15.57421875" style="14" customWidth="1"/>
    <col min="18" max="20" width="14.7109375" style="14" customWidth="1"/>
    <col min="21" max="22" width="15.57421875" style="14" customWidth="1"/>
    <col min="23" max="24" width="15.8515625" style="16" bestFit="1" customWidth="1"/>
    <col min="25" max="25" width="7.00390625" style="0" customWidth="1"/>
    <col min="26" max="26" width="8.00390625" style="0" customWidth="1"/>
    <col min="27" max="27" width="7.00390625" style="0" customWidth="1"/>
  </cols>
  <sheetData>
    <row r="1" spans="1:22" ht="12.75" customHeight="1" thickBot="1">
      <c r="A1" s="42"/>
      <c r="B1" s="42"/>
      <c r="C1" s="76" t="s">
        <v>21</v>
      </c>
      <c r="D1" s="77"/>
      <c r="E1" s="77"/>
      <c r="F1" s="77"/>
      <c r="G1" s="77"/>
      <c r="H1" s="77"/>
      <c r="I1" s="77"/>
      <c r="J1" s="77"/>
      <c r="K1" s="77"/>
      <c r="L1" s="78"/>
      <c r="M1" s="76" t="s">
        <v>22</v>
      </c>
      <c r="N1" s="77"/>
      <c r="O1" s="77"/>
      <c r="P1" s="77"/>
      <c r="Q1" s="77"/>
      <c r="R1" s="77"/>
      <c r="S1" s="77"/>
      <c r="T1" s="77"/>
      <c r="U1" s="77"/>
      <c r="V1" s="78"/>
    </row>
    <row r="2" spans="1:22" ht="12.75" customHeight="1" thickBot="1">
      <c r="A2" s="43"/>
      <c r="B2" s="43"/>
      <c r="C2" s="76" t="s">
        <v>24</v>
      </c>
      <c r="D2" s="77"/>
      <c r="E2" s="77"/>
      <c r="F2" s="77"/>
      <c r="G2" s="78"/>
      <c r="H2" s="76" t="s">
        <v>25</v>
      </c>
      <c r="I2" s="77"/>
      <c r="J2" s="77"/>
      <c r="K2" s="77"/>
      <c r="L2" s="78"/>
      <c r="M2" s="79" t="s">
        <v>24</v>
      </c>
      <c r="N2" s="80"/>
      <c r="O2" s="80"/>
      <c r="P2" s="80"/>
      <c r="Q2" s="81"/>
      <c r="R2" s="76" t="s">
        <v>25</v>
      </c>
      <c r="S2" s="77"/>
      <c r="T2" s="77"/>
      <c r="U2" s="77"/>
      <c r="V2" s="78"/>
    </row>
    <row r="3" spans="1:24" ht="51.75" thickBot="1">
      <c r="A3" s="26" t="s">
        <v>26</v>
      </c>
      <c r="B3" s="26" t="s">
        <v>27</v>
      </c>
      <c r="C3" s="46" t="s">
        <v>28</v>
      </c>
      <c r="D3" s="47" t="s">
        <v>32</v>
      </c>
      <c r="E3" s="47" t="s">
        <v>33</v>
      </c>
      <c r="F3" s="47" t="s">
        <v>29</v>
      </c>
      <c r="G3" s="27" t="s">
        <v>34</v>
      </c>
      <c r="H3" s="46" t="s">
        <v>28</v>
      </c>
      <c r="I3" s="47" t="s">
        <v>32</v>
      </c>
      <c r="J3" s="47" t="s">
        <v>33</v>
      </c>
      <c r="K3" s="47" t="s">
        <v>29</v>
      </c>
      <c r="L3" s="27" t="s">
        <v>34</v>
      </c>
      <c r="M3" s="46" t="s">
        <v>28</v>
      </c>
      <c r="N3" s="47" t="s">
        <v>32</v>
      </c>
      <c r="O3" s="47" t="s">
        <v>33</v>
      </c>
      <c r="P3" s="47" t="s">
        <v>29</v>
      </c>
      <c r="Q3" s="27" t="s">
        <v>34</v>
      </c>
      <c r="R3" s="46" t="s">
        <v>28</v>
      </c>
      <c r="S3" s="47" t="s">
        <v>32</v>
      </c>
      <c r="T3" s="47" t="s">
        <v>33</v>
      </c>
      <c r="U3" s="47" t="s">
        <v>29</v>
      </c>
      <c r="V3" s="27" t="s">
        <v>34</v>
      </c>
      <c r="W3" s="59" t="s">
        <v>30</v>
      </c>
      <c r="X3" s="60" t="s">
        <v>31</v>
      </c>
    </row>
    <row r="4" spans="1:24" ht="12.75">
      <c r="A4" s="44" t="s">
        <v>35</v>
      </c>
      <c r="B4" s="43"/>
      <c r="C4" s="48"/>
      <c r="D4" s="49"/>
      <c r="E4" s="49"/>
      <c r="F4" s="49"/>
      <c r="G4" s="50"/>
      <c r="H4" s="48"/>
      <c r="I4" s="49"/>
      <c r="J4" s="49"/>
      <c r="K4" s="49"/>
      <c r="L4" s="50"/>
      <c r="M4" s="48"/>
      <c r="N4" s="49"/>
      <c r="O4" s="49"/>
      <c r="P4" s="49"/>
      <c r="Q4" s="50"/>
      <c r="R4" s="48"/>
      <c r="S4" s="49"/>
      <c r="T4" s="49"/>
      <c r="U4" s="49"/>
      <c r="V4" s="50"/>
      <c r="W4" s="61"/>
      <c r="X4" s="62"/>
    </row>
    <row r="5" spans="1:24" ht="12.75">
      <c r="A5" s="43">
        <v>1</v>
      </c>
      <c r="B5" s="43">
        <v>1</v>
      </c>
      <c r="C5" s="51">
        <v>41.9166</v>
      </c>
      <c r="D5" s="52">
        <v>125017</v>
      </c>
      <c r="E5" s="52">
        <v>230932</v>
      </c>
      <c r="F5" s="52">
        <v>22.2861</v>
      </c>
      <c r="G5" s="39">
        <v>189250</v>
      </c>
      <c r="H5" s="51">
        <v>51.8443</v>
      </c>
      <c r="I5" s="52">
        <v>63526</v>
      </c>
      <c r="J5" s="52">
        <v>376728</v>
      </c>
      <c r="K5" s="52">
        <v>30.2554</v>
      </c>
      <c r="L5" s="39">
        <v>256924</v>
      </c>
      <c r="M5" s="51">
        <v>41.7093</v>
      </c>
      <c r="N5" s="52">
        <v>110674</v>
      </c>
      <c r="O5" s="52">
        <v>243515</v>
      </c>
      <c r="P5" s="52">
        <v>23.0432</v>
      </c>
      <c r="Q5" s="39">
        <v>195679</v>
      </c>
      <c r="R5" s="51">
        <v>51.3921</v>
      </c>
      <c r="S5" s="52">
        <v>25492</v>
      </c>
      <c r="T5" s="52">
        <v>410922</v>
      </c>
      <c r="U5" s="52">
        <v>32.8524</v>
      </c>
      <c r="V5" s="39">
        <v>278978</v>
      </c>
      <c r="W5" s="63">
        <f aca="true" t="shared" si="0" ref="W5:W20">ROUND((((P5-F5)/P5)*100),0)</f>
        <v>3</v>
      </c>
      <c r="X5" s="64">
        <f aca="true" t="shared" si="1" ref="X5:X20">ROUND((((U5-K5)/U5)*100),0)</f>
        <v>8</v>
      </c>
    </row>
    <row r="6" spans="1:24" ht="12.75">
      <c r="A6" s="43">
        <v>2</v>
      </c>
      <c r="B6" s="43">
        <v>1</v>
      </c>
      <c r="C6" s="51">
        <v>44.1667</v>
      </c>
      <c r="D6" s="52">
        <v>161867</v>
      </c>
      <c r="E6" s="52">
        <v>213190</v>
      </c>
      <c r="F6" s="52">
        <v>19.2133</v>
      </c>
      <c r="G6" s="39">
        <v>163156</v>
      </c>
      <c r="H6" s="51">
        <v>43.1456</v>
      </c>
      <c r="I6" s="52">
        <v>93266</v>
      </c>
      <c r="J6" s="52">
        <v>273120</v>
      </c>
      <c r="K6" s="52">
        <v>26.9086</v>
      </c>
      <c r="L6" s="39">
        <v>228504</v>
      </c>
      <c r="M6" s="51">
        <v>43.8736</v>
      </c>
      <c r="N6" s="52">
        <v>143307</v>
      </c>
      <c r="O6" s="52">
        <v>229261</v>
      </c>
      <c r="P6" s="52">
        <v>20.3508</v>
      </c>
      <c r="Q6" s="39">
        <v>172816</v>
      </c>
      <c r="R6" s="51">
        <v>41.9495</v>
      </c>
      <c r="S6" s="52">
        <v>27007</v>
      </c>
      <c r="T6" s="52">
        <v>329222</v>
      </c>
      <c r="U6" s="52">
        <v>32.1852</v>
      </c>
      <c r="V6" s="39">
        <v>273312</v>
      </c>
      <c r="W6" s="63">
        <f t="shared" si="0"/>
        <v>6</v>
      </c>
      <c r="X6" s="64">
        <f t="shared" si="1"/>
        <v>16</v>
      </c>
    </row>
    <row r="7" spans="1:24" ht="12.75">
      <c r="A7" s="43">
        <v>3</v>
      </c>
      <c r="B7" s="43">
        <v>1</v>
      </c>
      <c r="C7" s="51">
        <v>44.3182</v>
      </c>
      <c r="D7" s="52">
        <v>192531</v>
      </c>
      <c r="E7" s="52">
        <v>183812</v>
      </c>
      <c r="F7" s="52">
        <v>16.5567</v>
      </c>
      <c r="G7" s="39">
        <v>140597</v>
      </c>
      <c r="H7" s="51">
        <v>39.6834</v>
      </c>
      <c r="I7" s="52">
        <v>106764</v>
      </c>
      <c r="J7" s="52">
        <v>230221</v>
      </c>
      <c r="K7" s="52">
        <v>24.7039</v>
      </c>
      <c r="L7" s="39">
        <v>209782</v>
      </c>
      <c r="M7" s="51">
        <v>44.1135</v>
      </c>
      <c r="N7" s="52">
        <v>178606</v>
      </c>
      <c r="O7" s="52">
        <v>195999</v>
      </c>
      <c r="P7" s="52">
        <v>17.4465</v>
      </c>
      <c r="Q7" s="39">
        <v>148153</v>
      </c>
      <c r="R7" s="51">
        <v>38.3583</v>
      </c>
      <c r="S7" s="52">
        <v>26423</v>
      </c>
      <c r="T7" s="52">
        <v>299310</v>
      </c>
      <c r="U7" s="52">
        <v>31.8233</v>
      </c>
      <c r="V7" s="39">
        <v>270239</v>
      </c>
      <c r="W7" s="63">
        <f t="shared" si="0"/>
        <v>5</v>
      </c>
      <c r="X7" s="64">
        <f t="shared" si="1"/>
        <v>22</v>
      </c>
    </row>
    <row r="8" spans="1:24" ht="12.75">
      <c r="A8" s="43">
        <v>4</v>
      </c>
      <c r="B8" s="43">
        <v>1</v>
      </c>
      <c r="C8" s="51">
        <v>43.9991</v>
      </c>
      <c r="D8" s="52">
        <v>212995</v>
      </c>
      <c r="E8" s="52">
        <v>160639</v>
      </c>
      <c r="F8" s="52">
        <v>14.6265</v>
      </c>
      <c r="G8" s="39">
        <v>124206</v>
      </c>
      <c r="H8" s="51">
        <v>36.8318</v>
      </c>
      <c r="I8" s="52">
        <v>119947</v>
      </c>
      <c r="J8" s="52">
        <v>192823</v>
      </c>
      <c r="K8" s="52">
        <v>22.5247</v>
      </c>
      <c r="L8" s="39">
        <v>191276</v>
      </c>
      <c r="M8" s="51">
        <v>43.806</v>
      </c>
      <c r="N8" s="52">
        <v>200643</v>
      </c>
      <c r="O8" s="52">
        <v>171351</v>
      </c>
      <c r="P8" s="52">
        <v>15.4323</v>
      </c>
      <c r="Q8" s="39">
        <v>131049</v>
      </c>
      <c r="R8" s="51">
        <v>35.2868</v>
      </c>
      <c r="S8" s="52">
        <v>25776</v>
      </c>
      <c r="T8" s="52">
        <v>273874</v>
      </c>
      <c r="U8" s="52">
        <v>31.5553</v>
      </c>
      <c r="V8" s="39">
        <v>267963</v>
      </c>
      <c r="W8" s="63">
        <f t="shared" si="0"/>
        <v>5</v>
      </c>
      <c r="X8" s="64">
        <f t="shared" si="1"/>
        <v>29</v>
      </c>
    </row>
    <row r="9" spans="1:24" ht="12.75">
      <c r="A9" s="43">
        <v>1</v>
      </c>
      <c r="B9" s="43">
        <v>2</v>
      </c>
      <c r="C9" s="51">
        <v>41.1231</v>
      </c>
      <c r="D9" s="52">
        <v>81213</v>
      </c>
      <c r="E9" s="52">
        <v>267998</v>
      </c>
      <c r="F9" s="52">
        <v>25.0816</v>
      </c>
      <c r="G9" s="39">
        <v>212989</v>
      </c>
      <c r="H9" s="51">
        <v>51.6879</v>
      </c>
      <c r="I9" s="52">
        <v>57327</v>
      </c>
      <c r="J9" s="52">
        <v>381599</v>
      </c>
      <c r="K9" s="52">
        <v>24.6949</v>
      </c>
      <c r="L9" s="39">
        <v>209705</v>
      </c>
      <c r="M9" s="51">
        <v>40.9686</v>
      </c>
      <c r="N9" s="52">
        <v>68432</v>
      </c>
      <c r="O9" s="52">
        <v>279467</v>
      </c>
      <c r="P9" s="52">
        <v>25.7741</v>
      </c>
      <c r="Q9" s="39">
        <v>218870</v>
      </c>
      <c r="R9" s="51">
        <v>51.432</v>
      </c>
      <c r="S9" s="52">
        <v>25079</v>
      </c>
      <c r="T9" s="52">
        <v>411674</v>
      </c>
      <c r="U9" s="52">
        <v>26.2578</v>
      </c>
      <c r="V9" s="39">
        <v>222977</v>
      </c>
      <c r="W9" s="63">
        <f t="shared" si="0"/>
        <v>3</v>
      </c>
      <c r="X9" s="64">
        <f t="shared" si="1"/>
        <v>6</v>
      </c>
    </row>
    <row r="10" spans="1:24" ht="12.75">
      <c r="A10" s="43">
        <v>2</v>
      </c>
      <c r="B10" s="43">
        <v>2</v>
      </c>
      <c r="C10" s="51">
        <v>43.0015</v>
      </c>
      <c r="D10" s="52">
        <v>102277</v>
      </c>
      <c r="E10" s="52">
        <v>262885</v>
      </c>
      <c r="F10" s="52">
        <v>23.2465</v>
      </c>
      <c r="G10" s="39">
        <v>197406</v>
      </c>
      <c r="H10" s="51">
        <v>42.4864</v>
      </c>
      <c r="I10" s="52">
        <v>67812</v>
      </c>
      <c r="J10" s="52">
        <v>292976</v>
      </c>
      <c r="K10" s="52">
        <v>23.2537</v>
      </c>
      <c r="L10" s="39">
        <v>197467</v>
      </c>
      <c r="M10" s="51">
        <v>42.7627</v>
      </c>
      <c r="N10" s="52">
        <v>85081</v>
      </c>
      <c r="O10" s="52">
        <v>278053</v>
      </c>
      <c r="P10" s="52">
        <v>24.2574</v>
      </c>
      <c r="Q10" s="39">
        <v>205990</v>
      </c>
      <c r="R10" s="51">
        <v>41.8929</v>
      </c>
      <c r="S10" s="52">
        <v>25112</v>
      </c>
      <c r="T10" s="52">
        <v>330636</v>
      </c>
      <c r="U10" s="52">
        <v>25.8367</v>
      </c>
      <c r="V10" s="39">
        <v>219401</v>
      </c>
      <c r="W10" s="63">
        <f t="shared" si="0"/>
        <v>4</v>
      </c>
      <c r="X10" s="64">
        <f t="shared" si="1"/>
        <v>10</v>
      </c>
    </row>
    <row r="11" spans="1:24" ht="12.75">
      <c r="A11" s="43">
        <v>3</v>
      </c>
      <c r="B11" s="43">
        <v>2</v>
      </c>
      <c r="C11" s="51">
        <v>42.6699</v>
      </c>
      <c r="D11" s="52">
        <v>114607</v>
      </c>
      <c r="E11" s="52">
        <v>247739</v>
      </c>
      <c r="F11" s="52">
        <v>21.9413</v>
      </c>
      <c r="G11" s="39">
        <v>186322</v>
      </c>
      <c r="H11" s="51">
        <v>38.8254</v>
      </c>
      <c r="I11" s="52">
        <v>74571</v>
      </c>
      <c r="J11" s="52">
        <v>255128</v>
      </c>
      <c r="K11" s="52">
        <v>22.1227</v>
      </c>
      <c r="L11" s="39">
        <v>187863</v>
      </c>
      <c r="M11" s="51">
        <v>42.4342</v>
      </c>
      <c r="N11" s="52">
        <v>97619</v>
      </c>
      <c r="O11" s="52">
        <v>262726</v>
      </c>
      <c r="P11" s="52">
        <v>22.9776</v>
      </c>
      <c r="Q11" s="39">
        <v>195122</v>
      </c>
      <c r="R11" s="51">
        <v>38.2589</v>
      </c>
      <c r="S11" s="52">
        <v>24964</v>
      </c>
      <c r="T11" s="52">
        <v>299925</v>
      </c>
      <c r="U11" s="52">
        <v>25.5119</v>
      </c>
      <c r="V11" s="39">
        <v>216643</v>
      </c>
      <c r="W11" s="63">
        <f t="shared" si="0"/>
        <v>5</v>
      </c>
      <c r="X11" s="64">
        <f t="shared" si="1"/>
        <v>13</v>
      </c>
    </row>
    <row r="12" spans="1:24" ht="12.75">
      <c r="A12" s="43">
        <v>4</v>
      </c>
      <c r="B12" s="43">
        <v>2</v>
      </c>
      <c r="C12" s="51">
        <v>42.154</v>
      </c>
      <c r="D12" s="52">
        <v>125945</v>
      </c>
      <c r="E12" s="52">
        <v>232020</v>
      </c>
      <c r="F12" s="52">
        <v>20.7413</v>
      </c>
      <c r="G12" s="39">
        <v>176132</v>
      </c>
      <c r="H12" s="51">
        <v>35.773</v>
      </c>
      <c r="I12" s="52">
        <v>81350</v>
      </c>
      <c r="J12" s="52">
        <v>222429</v>
      </c>
      <c r="K12" s="52">
        <v>20.9926</v>
      </c>
      <c r="L12" s="39">
        <v>178266</v>
      </c>
      <c r="M12" s="51">
        <v>41.8725</v>
      </c>
      <c r="N12" s="52">
        <v>107966</v>
      </c>
      <c r="O12" s="52">
        <v>247609</v>
      </c>
      <c r="P12" s="52">
        <v>21.9744</v>
      </c>
      <c r="Q12" s="39">
        <v>186603</v>
      </c>
      <c r="R12" s="51">
        <v>35.1514</v>
      </c>
      <c r="S12" s="52">
        <v>24212</v>
      </c>
      <c r="T12" s="52">
        <v>274288</v>
      </c>
      <c r="U12" s="52">
        <v>25.3297</v>
      </c>
      <c r="V12" s="39">
        <v>215096</v>
      </c>
      <c r="W12" s="63">
        <f t="shared" si="0"/>
        <v>6</v>
      </c>
      <c r="X12" s="64">
        <f t="shared" si="1"/>
        <v>17</v>
      </c>
    </row>
    <row r="13" spans="1:24" ht="12.75">
      <c r="A13" s="43">
        <v>1</v>
      </c>
      <c r="B13" s="43">
        <v>3</v>
      </c>
      <c r="C13" s="51">
        <v>40.8977</v>
      </c>
      <c r="D13" s="52">
        <v>66019</v>
      </c>
      <c r="E13" s="52">
        <v>281278</v>
      </c>
      <c r="F13" s="52">
        <v>25.4642</v>
      </c>
      <c r="G13" s="39">
        <v>216238</v>
      </c>
      <c r="H13" s="51">
        <v>51.5544</v>
      </c>
      <c r="I13" s="52">
        <v>49248</v>
      </c>
      <c r="J13" s="52">
        <v>388544</v>
      </c>
      <c r="K13" s="52">
        <v>22.7604</v>
      </c>
      <c r="L13" s="39">
        <v>193278</v>
      </c>
      <c r="M13" s="51">
        <v>40.707</v>
      </c>
      <c r="N13" s="52">
        <v>52983</v>
      </c>
      <c r="O13" s="52">
        <v>292695</v>
      </c>
      <c r="P13" s="52">
        <v>26.1305</v>
      </c>
      <c r="Q13" s="39">
        <v>221896</v>
      </c>
      <c r="R13" s="51">
        <v>51.3516</v>
      </c>
      <c r="S13" s="52">
        <v>20825</v>
      </c>
      <c r="T13" s="52">
        <v>415245</v>
      </c>
      <c r="U13" s="52">
        <v>24.0983</v>
      </c>
      <c r="V13" s="39">
        <v>204639</v>
      </c>
      <c r="W13" s="63">
        <f t="shared" si="0"/>
        <v>3</v>
      </c>
      <c r="X13" s="64">
        <f t="shared" si="1"/>
        <v>6</v>
      </c>
    </row>
    <row r="14" spans="1:24" ht="12.75">
      <c r="A14" s="43">
        <v>2</v>
      </c>
      <c r="B14" s="43">
        <v>3</v>
      </c>
      <c r="C14" s="51">
        <v>42.6077</v>
      </c>
      <c r="D14" s="52">
        <v>82664</v>
      </c>
      <c r="E14" s="52">
        <v>279154</v>
      </c>
      <c r="F14" s="52">
        <v>24.0167</v>
      </c>
      <c r="G14" s="39">
        <v>203946</v>
      </c>
      <c r="H14" s="51">
        <v>42.0791</v>
      </c>
      <c r="I14" s="52">
        <v>51129</v>
      </c>
      <c r="J14" s="52">
        <v>306200</v>
      </c>
      <c r="K14" s="52">
        <v>22.0408</v>
      </c>
      <c r="L14" s="39">
        <v>187167</v>
      </c>
      <c r="M14" s="51">
        <v>42.3808</v>
      </c>
      <c r="N14" s="52">
        <v>66122</v>
      </c>
      <c r="O14" s="52">
        <v>293769</v>
      </c>
      <c r="P14" s="52">
        <v>24.991</v>
      </c>
      <c r="Q14" s="39">
        <v>212220</v>
      </c>
      <c r="R14" s="51">
        <v>41.7677</v>
      </c>
      <c r="S14" s="52">
        <v>19321</v>
      </c>
      <c r="T14" s="52">
        <v>335364</v>
      </c>
      <c r="U14" s="52">
        <v>23.8278</v>
      </c>
      <c r="V14" s="39">
        <v>202342</v>
      </c>
      <c r="W14" s="63">
        <f t="shared" si="0"/>
        <v>4</v>
      </c>
      <c r="X14" s="64">
        <f t="shared" si="1"/>
        <v>7</v>
      </c>
    </row>
    <row r="15" spans="1:24" ht="12.75">
      <c r="A15" s="43">
        <v>3</v>
      </c>
      <c r="B15" s="43">
        <v>3</v>
      </c>
      <c r="C15" s="51">
        <v>42.2088</v>
      </c>
      <c r="D15" s="52">
        <v>91756</v>
      </c>
      <c r="E15" s="52">
        <v>266675</v>
      </c>
      <c r="F15" s="52">
        <v>22.9866</v>
      </c>
      <c r="G15" s="39">
        <v>195199</v>
      </c>
      <c r="H15" s="51">
        <v>38.355</v>
      </c>
      <c r="I15" s="52">
        <v>53750</v>
      </c>
      <c r="J15" s="52">
        <v>271955</v>
      </c>
      <c r="K15" s="52">
        <v>21.3817</v>
      </c>
      <c r="L15" s="39">
        <v>181570</v>
      </c>
      <c r="M15" s="51">
        <v>41.9849</v>
      </c>
      <c r="N15" s="52">
        <v>74594</v>
      </c>
      <c r="O15" s="52">
        <v>281935</v>
      </c>
      <c r="P15" s="52">
        <v>24.0798</v>
      </c>
      <c r="Q15" s="39">
        <v>204482</v>
      </c>
      <c r="R15" s="51">
        <v>38.129</v>
      </c>
      <c r="S15" s="52">
        <v>19069</v>
      </c>
      <c r="T15" s="52">
        <v>304717</v>
      </c>
      <c r="U15" s="52">
        <v>23.6287</v>
      </c>
      <c r="V15" s="39">
        <v>200651</v>
      </c>
      <c r="W15" s="63">
        <f t="shared" si="0"/>
        <v>5</v>
      </c>
      <c r="X15" s="64">
        <f t="shared" si="1"/>
        <v>10</v>
      </c>
    </row>
    <row r="16" spans="1:24" ht="12.75">
      <c r="A16" s="43">
        <v>4</v>
      </c>
      <c r="B16" s="43">
        <v>3</v>
      </c>
      <c r="C16" s="51">
        <v>41.6279</v>
      </c>
      <c r="D16" s="52">
        <v>97691</v>
      </c>
      <c r="E16" s="52">
        <v>255807</v>
      </c>
      <c r="F16" s="52">
        <v>22.2763</v>
      </c>
      <c r="G16" s="39">
        <v>189167</v>
      </c>
      <c r="H16" s="51">
        <v>35.2981</v>
      </c>
      <c r="I16" s="52">
        <v>55871</v>
      </c>
      <c r="J16" s="52">
        <v>243875</v>
      </c>
      <c r="K16" s="52">
        <v>20.8118</v>
      </c>
      <c r="L16" s="39">
        <v>176731</v>
      </c>
      <c r="M16" s="51">
        <v>41.4048</v>
      </c>
      <c r="N16" s="52">
        <v>79521</v>
      </c>
      <c r="O16" s="52">
        <v>272082</v>
      </c>
      <c r="P16" s="52">
        <v>23.5002</v>
      </c>
      <c r="Q16" s="39">
        <v>199560</v>
      </c>
      <c r="R16" s="51">
        <v>35.0891</v>
      </c>
      <c r="S16" s="52">
        <v>18742</v>
      </c>
      <c r="T16" s="52">
        <v>279229</v>
      </c>
      <c r="U16" s="52">
        <v>23.4159</v>
      </c>
      <c r="V16" s="39">
        <v>198844</v>
      </c>
      <c r="W16" s="63">
        <f t="shared" si="0"/>
        <v>5</v>
      </c>
      <c r="X16" s="64">
        <f t="shared" si="1"/>
        <v>11</v>
      </c>
    </row>
    <row r="17" spans="1:24" ht="12.75">
      <c r="A17" s="43">
        <v>1</v>
      </c>
      <c r="B17" s="43">
        <v>4</v>
      </c>
      <c r="C17" s="51">
        <v>40.7724</v>
      </c>
      <c r="D17" s="52">
        <v>58978</v>
      </c>
      <c r="E17" s="52">
        <v>287255</v>
      </c>
      <c r="F17" s="52">
        <v>25.3093</v>
      </c>
      <c r="G17" s="39">
        <v>214923</v>
      </c>
      <c r="H17" s="51">
        <v>51.4886</v>
      </c>
      <c r="I17" s="52">
        <v>45228</v>
      </c>
      <c r="J17" s="52">
        <v>392005</v>
      </c>
      <c r="K17" s="52">
        <v>20.9382</v>
      </c>
      <c r="L17" s="39">
        <v>177804</v>
      </c>
      <c r="M17" s="51">
        <v>40.6358</v>
      </c>
      <c r="N17" s="52">
        <v>45713</v>
      </c>
      <c r="O17" s="52">
        <v>299360</v>
      </c>
      <c r="P17" s="52">
        <v>26.0124</v>
      </c>
      <c r="Q17" s="39">
        <v>220893</v>
      </c>
      <c r="R17" s="51">
        <v>51.3225</v>
      </c>
      <c r="S17" s="52">
        <v>18602</v>
      </c>
      <c r="T17" s="52">
        <v>417221</v>
      </c>
      <c r="U17" s="52">
        <v>22.0363</v>
      </c>
      <c r="V17" s="39">
        <v>187129</v>
      </c>
      <c r="W17" s="63">
        <f t="shared" si="0"/>
        <v>3</v>
      </c>
      <c r="X17" s="64">
        <f t="shared" si="1"/>
        <v>5</v>
      </c>
    </row>
    <row r="18" spans="1:24" ht="12.75">
      <c r="A18" s="43">
        <v>2</v>
      </c>
      <c r="B18" s="43">
        <v>4</v>
      </c>
      <c r="C18" s="51">
        <v>42.4827</v>
      </c>
      <c r="D18" s="52">
        <v>73892</v>
      </c>
      <c r="E18" s="52">
        <v>286865</v>
      </c>
      <c r="F18" s="52">
        <v>24.0439</v>
      </c>
      <c r="G18" s="39">
        <v>204177</v>
      </c>
      <c r="H18" s="51">
        <v>41.9256</v>
      </c>
      <c r="I18" s="52">
        <v>43908</v>
      </c>
      <c r="J18" s="52">
        <v>312118</v>
      </c>
      <c r="K18" s="52">
        <v>20.4661</v>
      </c>
      <c r="L18" s="39">
        <v>173795</v>
      </c>
      <c r="M18" s="51">
        <v>42.211</v>
      </c>
      <c r="N18" s="52">
        <v>57294</v>
      </c>
      <c r="O18" s="52">
        <v>301155</v>
      </c>
      <c r="P18" s="52">
        <v>24.983</v>
      </c>
      <c r="Q18" s="39">
        <v>212152</v>
      </c>
      <c r="R18" s="51">
        <v>41.6849</v>
      </c>
      <c r="S18" s="52">
        <v>16609</v>
      </c>
      <c r="T18" s="52">
        <v>337373</v>
      </c>
      <c r="U18" s="52">
        <v>21.9012</v>
      </c>
      <c r="V18" s="39">
        <v>185982</v>
      </c>
      <c r="W18" s="63">
        <f t="shared" si="0"/>
        <v>4</v>
      </c>
      <c r="X18" s="64">
        <f t="shared" si="1"/>
        <v>7</v>
      </c>
    </row>
    <row r="19" spans="1:24" ht="12.75">
      <c r="A19" s="43">
        <v>3</v>
      </c>
      <c r="B19" s="43">
        <v>4</v>
      </c>
      <c r="C19" s="51">
        <v>42.0141</v>
      </c>
      <c r="D19" s="52">
        <v>79421</v>
      </c>
      <c r="E19" s="52">
        <v>277356</v>
      </c>
      <c r="F19" s="52">
        <v>23.3689</v>
      </c>
      <c r="G19" s="39">
        <v>198445</v>
      </c>
      <c r="H19" s="51">
        <v>38.2269</v>
      </c>
      <c r="I19" s="52">
        <v>44084</v>
      </c>
      <c r="J19" s="52">
        <v>280533</v>
      </c>
      <c r="K19" s="52">
        <v>20.0963</v>
      </c>
      <c r="L19" s="39">
        <v>170655</v>
      </c>
      <c r="M19" s="51">
        <v>41.7944</v>
      </c>
      <c r="N19" s="52">
        <v>63762</v>
      </c>
      <c r="O19" s="52">
        <v>291150</v>
      </c>
      <c r="P19" s="52">
        <v>24.3116</v>
      </c>
      <c r="Q19" s="39">
        <v>206450</v>
      </c>
      <c r="R19" s="51">
        <v>38.0706</v>
      </c>
      <c r="S19" s="52">
        <v>15831</v>
      </c>
      <c r="T19" s="52">
        <v>307459</v>
      </c>
      <c r="U19" s="52">
        <v>21.7644</v>
      </c>
      <c r="V19" s="39">
        <v>184820</v>
      </c>
      <c r="W19" s="63">
        <f t="shared" si="0"/>
        <v>4</v>
      </c>
      <c r="X19" s="64">
        <f t="shared" si="1"/>
        <v>8</v>
      </c>
    </row>
    <row r="20" spans="1:24" ht="12.75">
      <c r="A20" s="43">
        <v>4</v>
      </c>
      <c r="B20" s="43">
        <v>4</v>
      </c>
      <c r="C20" s="51">
        <v>41.3565</v>
      </c>
      <c r="D20" s="52">
        <v>84103</v>
      </c>
      <c r="E20" s="52">
        <v>267090</v>
      </c>
      <c r="F20" s="52">
        <v>22.775</v>
      </c>
      <c r="G20" s="39">
        <v>193402</v>
      </c>
      <c r="H20" s="51">
        <v>35.0701</v>
      </c>
      <c r="I20" s="52">
        <v>43420</v>
      </c>
      <c r="J20" s="52">
        <v>254390</v>
      </c>
      <c r="K20" s="52">
        <v>19.7809</v>
      </c>
      <c r="L20" s="39">
        <v>167976</v>
      </c>
      <c r="M20" s="51">
        <v>41.1743</v>
      </c>
      <c r="N20" s="52">
        <v>67602</v>
      </c>
      <c r="O20" s="52">
        <v>282044</v>
      </c>
      <c r="P20" s="52">
        <v>23.812</v>
      </c>
      <c r="Q20" s="39">
        <v>202208</v>
      </c>
      <c r="R20" s="51">
        <v>34.9819</v>
      </c>
      <c r="S20" s="52">
        <v>15456</v>
      </c>
      <c r="T20" s="52">
        <v>281605</v>
      </c>
      <c r="U20" s="52">
        <v>21.6075</v>
      </c>
      <c r="V20" s="39">
        <v>183488</v>
      </c>
      <c r="W20" s="63">
        <f t="shared" si="0"/>
        <v>4</v>
      </c>
      <c r="X20" s="64">
        <f t="shared" si="1"/>
        <v>8</v>
      </c>
    </row>
    <row r="21" spans="1:24" ht="12.75">
      <c r="A21" s="43"/>
      <c r="B21" s="43"/>
      <c r="C21" s="53"/>
      <c r="D21" s="54"/>
      <c r="E21" s="54"/>
      <c r="F21" s="54"/>
      <c r="G21" s="55"/>
      <c r="H21" s="53"/>
      <c r="I21" s="54"/>
      <c r="J21" s="54"/>
      <c r="K21" s="54"/>
      <c r="L21" s="55"/>
      <c r="M21" s="53"/>
      <c r="N21" s="54"/>
      <c r="O21" s="54"/>
      <c r="P21" s="54"/>
      <c r="Q21" s="55"/>
      <c r="R21" s="53"/>
      <c r="S21" s="54"/>
      <c r="T21" s="54"/>
      <c r="U21" s="54"/>
      <c r="V21" s="55"/>
      <c r="W21" s="63"/>
      <c r="X21" s="64"/>
    </row>
    <row r="22" spans="1:24" ht="25.5">
      <c r="A22" s="44" t="s">
        <v>36</v>
      </c>
      <c r="B22" s="43"/>
      <c r="C22" s="53"/>
      <c r="D22" s="54"/>
      <c r="E22" s="54"/>
      <c r="F22" s="54"/>
      <c r="G22" s="55"/>
      <c r="H22" s="53"/>
      <c r="I22" s="54"/>
      <c r="J22" s="54"/>
      <c r="K22" s="54"/>
      <c r="L22" s="55"/>
      <c r="M22" s="53"/>
      <c r="N22" s="54"/>
      <c r="O22" s="54"/>
      <c r="P22" s="54"/>
      <c r="Q22" s="55"/>
      <c r="R22" s="53"/>
      <c r="S22" s="54"/>
      <c r="T22" s="54"/>
      <c r="U22" s="54"/>
      <c r="V22" s="55"/>
      <c r="W22" s="63"/>
      <c r="X22" s="64"/>
    </row>
    <row r="23" spans="1:24" ht="12.75">
      <c r="A23" s="43">
        <v>1</v>
      </c>
      <c r="B23" s="43">
        <v>1</v>
      </c>
      <c r="C23" s="51">
        <v>116.844</v>
      </c>
      <c r="D23" s="52">
        <v>30246</v>
      </c>
      <c r="E23" s="52">
        <v>68976</v>
      </c>
      <c r="F23" s="52">
        <v>23.8756</v>
      </c>
      <c r="G23" s="39">
        <v>202748</v>
      </c>
      <c r="H23" s="51">
        <v>115.492</v>
      </c>
      <c r="I23" s="52">
        <v>17120</v>
      </c>
      <c r="J23" s="52">
        <v>80954</v>
      </c>
      <c r="K23" s="52">
        <v>30.7904</v>
      </c>
      <c r="L23" s="39">
        <v>261467</v>
      </c>
      <c r="M23" s="51">
        <v>115.515</v>
      </c>
      <c r="N23" s="52">
        <v>27461</v>
      </c>
      <c r="O23" s="52">
        <v>70633</v>
      </c>
      <c r="P23" s="52">
        <v>24.3806</v>
      </c>
      <c r="Q23" s="39">
        <v>207036</v>
      </c>
      <c r="R23" s="51">
        <v>110.382</v>
      </c>
      <c r="S23" s="52">
        <v>4814</v>
      </c>
      <c r="T23" s="52">
        <v>88921</v>
      </c>
      <c r="U23" s="52">
        <v>33.775</v>
      </c>
      <c r="V23" s="39">
        <v>286812</v>
      </c>
      <c r="W23" s="63">
        <f aca="true" t="shared" si="2" ref="W23:W38">ROUND((((P23-F23)/P23)*100),0)</f>
        <v>2</v>
      </c>
      <c r="X23" s="64">
        <f aca="true" t="shared" si="3" ref="X23:X38">ROUND((((U23-K23)/U23)*100),0)</f>
        <v>9</v>
      </c>
    </row>
    <row r="24" spans="1:24" ht="12.75">
      <c r="A24" s="43">
        <v>2</v>
      </c>
      <c r="B24" s="43">
        <v>1</v>
      </c>
      <c r="C24" s="51">
        <v>119.491</v>
      </c>
      <c r="D24" s="52">
        <v>46946</v>
      </c>
      <c r="E24" s="52">
        <v>54524</v>
      </c>
      <c r="F24" s="52">
        <v>19.7065</v>
      </c>
      <c r="G24" s="39">
        <v>167345</v>
      </c>
      <c r="H24" s="51">
        <v>94.659</v>
      </c>
      <c r="I24" s="52">
        <v>22885</v>
      </c>
      <c r="J24" s="52">
        <v>57498</v>
      </c>
      <c r="K24" s="52">
        <v>27.5752</v>
      </c>
      <c r="L24" s="39">
        <v>234164</v>
      </c>
      <c r="M24" s="51">
        <v>116.999</v>
      </c>
      <c r="N24" s="52">
        <v>41697</v>
      </c>
      <c r="O24" s="52">
        <v>57657</v>
      </c>
      <c r="P24" s="52">
        <v>20.7153</v>
      </c>
      <c r="Q24" s="39">
        <v>175911</v>
      </c>
      <c r="R24" s="51">
        <v>87.1094</v>
      </c>
      <c r="S24" s="52">
        <v>4893</v>
      </c>
      <c r="T24" s="52">
        <v>69079</v>
      </c>
      <c r="U24" s="52">
        <v>33.1266</v>
      </c>
      <c r="V24" s="39">
        <v>281306</v>
      </c>
      <c r="W24" s="63">
        <f t="shared" si="2"/>
        <v>5</v>
      </c>
      <c r="X24" s="64">
        <f t="shared" si="3"/>
        <v>17</v>
      </c>
    </row>
    <row r="25" spans="1:24" ht="12.75">
      <c r="A25" s="43">
        <v>3</v>
      </c>
      <c r="B25" s="43">
        <v>1</v>
      </c>
      <c r="C25" s="51">
        <v>119.173</v>
      </c>
      <c r="D25" s="52">
        <v>56441</v>
      </c>
      <c r="E25" s="52">
        <v>44759</v>
      </c>
      <c r="F25" s="52">
        <v>16.6396</v>
      </c>
      <c r="G25" s="39">
        <v>141301</v>
      </c>
      <c r="H25" s="51">
        <v>85.7434</v>
      </c>
      <c r="I25" s="52">
        <v>25737</v>
      </c>
      <c r="J25" s="52">
        <v>47075</v>
      </c>
      <c r="K25" s="52">
        <v>25.1791</v>
      </c>
      <c r="L25" s="39">
        <v>213817</v>
      </c>
      <c r="M25" s="51">
        <v>116.591</v>
      </c>
      <c r="N25" s="52">
        <v>50959</v>
      </c>
      <c r="O25" s="52">
        <v>48048</v>
      </c>
      <c r="P25" s="52">
        <v>17.8296</v>
      </c>
      <c r="Q25" s="39">
        <v>151406</v>
      </c>
      <c r="R25" s="51">
        <v>78.3304</v>
      </c>
      <c r="S25" s="52">
        <v>4928</v>
      </c>
      <c r="T25" s="52">
        <v>61589</v>
      </c>
      <c r="U25" s="52">
        <v>32.6276</v>
      </c>
      <c r="V25" s="39">
        <v>277069</v>
      </c>
      <c r="W25" s="63">
        <f t="shared" si="2"/>
        <v>7</v>
      </c>
      <c r="X25" s="64">
        <f t="shared" si="3"/>
        <v>23</v>
      </c>
    </row>
    <row r="26" spans="1:24" ht="12.75">
      <c r="A26" s="43">
        <v>4</v>
      </c>
      <c r="B26" s="43">
        <v>1</v>
      </c>
      <c r="C26" s="51">
        <v>118.12</v>
      </c>
      <c r="D26" s="52">
        <v>62381</v>
      </c>
      <c r="E26" s="52">
        <v>37925</v>
      </c>
      <c r="F26" s="52">
        <v>14.4834</v>
      </c>
      <c r="G26" s="39">
        <v>122991</v>
      </c>
      <c r="H26" s="51">
        <v>79.236</v>
      </c>
      <c r="I26" s="52">
        <v>28033</v>
      </c>
      <c r="J26" s="52">
        <v>39253</v>
      </c>
      <c r="K26" s="52">
        <v>23.074</v>
      </c>
      <c r="L26" s="39">
        <v>195941</v>
      </c>
      <c r="M26" s="51">
        <v>115.699</v>
      </c>
      <c r="N26" s="52">
        <v>56930</v>
      </c>
      <c r="O26" s="52">
        <v>41320</v>
      </c>
      <c r="P26" s="52">
        <v>15.7467</v>
      </c>
      <c r="Q26" s="39">
        <v>133719</v>
      </c>
      <c r="R26" s="51">
        <v>70.6854</v>
      </c>
      <c r="S26" s="52">
        <v>4739</v>
      </c>
      <c r="T26" s="52">
        <v>55286</v>
      </c>
      <c r="U26" s="52">
        <v>32.3364</v>
      </c>
      <c r="V26" s="39">
        <v>274596</v>
      </c>
      <c r="W26" s="63">
        <f t="shared" si="2"/>
        <v>8</v>
      </c>
      <c r="X26" s="64">
        <f t="shared" si="3"/>
        <v>29</v>
      </c>
    </row>
    <row r="27" spans="1:24" ht="12.75">
      <c r="A27" s="43">
        <v>1</v>
      </c>
      <c r="B27" s="43">
        <v>2</v>
      </c>
      <c r="C27" s="51">
        <v>109.126</v>
      </c>
      <c r="D27" s="52">
        <v>13950</v>
      </c>
      <c r="E27" s="52">
        <v>78718</v>
      </c>
      <c r="F27" s="52">
        <v>27.1451</v>
      </c>
      <c r="G27" s="39">
        <v>230512</v>
      </c>
      <c r="H27" s="51">
        <v>113.112</v>
      </c>
      <c r="I27" s="52">
        <v>11695</v>
      </c>
      <c r="J27" s="52">
        <v>84358</v>
      </c>
      <c r="K27" s="52">
        <v>26.522</v>
      </c>
      <c r="L27" s="39">
        <v>225221</v>
      </c>
      <c r="M27" s="51">
        <v>108.256</v>
      </c>
      <c r="N27" s="52">
        <v>12144</v>
      </c>
      <c r="O27" s="52">
        <v>79785</v>
      </c>
      <c r="P27" s="52">
        <v>27.488</v>
      </c>
      <c r="Q27" s="39">
        <v>233424</v>
      </c>
      <c r="R27" s="51">
        <v>110.298</v>
      </c>
      <c r="S27" s="52">
        <v>4449</v>
      </c>
      <c r="T27" s="52">
        <v>89214</v>
      </c>
      <c r="U27" s="52">
        <v>27.9509</v>
      </c>
      <c r="V27" s="39">
        <v>237355</v>
      </c>
      <c r="W27" s="63">
        <f t="shared" si="2"/>
        <v>1</v>
      </c>
      <c r="X27" s="64">
        <f t="shared" si="3"/>
        <v>5</v>
      </c>
    </row>
    <row r="28" spans="1:24" ht="12.75">
      <c r="A28" s="43">
        <v>2</v>
      </c>
      <c r="B28" s="43">
        <v>2</v>
      </c>
      <c r="C28" s="51">
        <v>106.207</v>
      </c>
      <c r="D28" s="52">
        <v>17800</v>
      </c>
      <c r="E28" s="52">
        <v>72389</v>
      </c>
      <c r="F28" s="52">
        <v>25.9085</v>
      </c>
      <c r="G28" s="39">
        <v>220011</v>
      </c>
      <c r="H28" s="51">
        <v>90.2901</v>
      </c>
      <c r="I28" s="52">
        <v>14534</v>
      </c>
      <c r="J28" s="52">
        <v>62139</v>
      </c>
      <c r="K28" s="52">
        <v>24.6637</v>
      </c>
      <c r="L28" s="39">
        <v>209440</v>
      </c>
      <c r="M28" s="51">
        <v>105.256</v>
      </c>
      <c r="N28" s="52">
        <v>15706</v>
      </c>
      <c r="O28" s="52">
        <v>73676</v>
      </c>
      <c r="P28" s="52">
        <v>26.3711</v>
      </c>
      <c r="Q28" s="39">
        <v>223939</v>
      </c>
      <c r="R28" s="51">
        <v>86.6349</v>
      </c>
      <c r="S28" s="52">
        <v>4031</v>
      </c>
      <c r="T28" s="52">
        <v>69538</v>
      </c>
      <c r="U28" s="52">
        <v>27.5913</v>
      </c>
      <c r="V28" s="39">
        <v>234301</v>
      </c>
      <c r="W28" s="63">
        <f t="shared" si="2"/>
        <v>2</v>
      </c>
      <c r="X28" s="64">
        <f t="shared" si="3"/>
        <v>11</v>
      </c>
    </row>
    <row r="29" spans="1:24" ht="12.75">
      <c r="A29" s="43">
        <v>3</v>
      </c>
      <c r="B29" s="43">
        <v>2</v>
      </c>
      <c r="C29" s="51">
        <v>103.688</v>
      </c>
      <c r="D29" s="52">
        <v>22376</v>
      </c>
      <c r="E29" s="52">
        <v>65674</v>
      </c>
      <c r="F29" s="52">
        <v>24.3782</v>
      </c>
      <c r="G29" s="39">
        <v>207016</v>
      </c>
      <c r="H29" s="51">
        <v>81.298</v>
      </c>
      <c r="I29" s="52">
        <v>16067</v>
      </c>
      <c r="J29" s="52">
        <v>52970</v>
      </c>
      <c r="K29" s="52">
        <v>23.3579</v>
      </c>
      <c r="L29" s="39">
        <v>198352</v>
      </c>
      <c r="M29" s="51">
        <v>102.883</v>
      </c>
      <c r="N29" s="52">
        <v>20073</v>
      </c>
      <c r="O29" s="52">
        <v>67294</v>
      </c>
      <c r="P29" s="52">
        <v>24.8975</v>
      </c>
      <c r="Q29" s="39">
        <v>211426</v>
      </c>
      <c r="R29" s="51">
        <v>77.8488</v>
      </c>
      <c r="S29" s="52">
        <v>4024</v>
      </c>
      <c r="T29" s="52">
        <v>62084</v>
      </c>
      <c r="U29" s="52">
        <v>27.204</v>
      </c>
      <c r="V29" s="39">
        <v>231012</v>
      </c>
      <c r="W29" s="63">
        <f t="shared" si="2"/>
        <v>2</v>
      </c>
      <c r="X29" s="64">
        <f t="shared" si="3"/>
        <v>14</v>
      </c>
    </row>
    <row r="30" spans="1:24" ht="12.75">
      <c r="A30" s="43">
        <v>4</v>
      </c>
      <c r="B30" s="43">
        <v>2</v>
      </c>
      <c r="C30" s="51">
        <v>102.015</v>
      </c>
      <c r="D30" s="52">
        <v>25963</v>
      </c>
      <c r="E30" s="52">
        <v>60667</v>
      </c>
      <c r="F30" s="52">
        <v>23.0415</v>
      </c>
      <c r="G30" s="39">
        <v>195665</v>
      </c>
      <c r="H30" s="51">
        <v>74.1393</v>
      </c>
      <c r="I30" s="52">
        <v>17457</v>
      </c>
      <c r="J30" s="52">
        <v>45501</v>
      </c>
      <c r="K30" s="52">
        <v>22.1368</v>
      </c>
      <c r="L30" s="39">
        <v>187982</v>
      </c>
      <c r="M30" s="51">
        <v>100.621</v>
      </c>
      <c r="N30" s="52">
        <v>23281</v>
      </c>
      <c r="O30" s="52">
        <v>62165</v>
      </c>
      <c r="P30" s="52">
        <v>23.6985</v>
      </c>
      <c r="Q30" s="39">
        <v>201244</v>
      </c>
      <c r="R30" s="51">
        <v>70.3698</v>
      </c>
      <c r="S30" s="52">
        <v>3860</v>
      </c>
      <c r="T30" s="52">
        <v>55897</v>
      </c>
      <c r="U30" s="52">
        <v>27.0339</v>
      </c>
      <c r="V30" s="39">
        <v>229568</v>
      </c>
      <c r="W30" s="63">
        <f t="shared" si="2"/>
        <v>3</v>
      </c>
      <c r="X30" s="64">
        <f t="shared" si="3"/>
        <v>18</v>
      </c>
    </row>
    <row r="31" spans="1:24" ht="12.75">
      <c r="A31" s="43">
        <v>1</v>
      </c>
      <c r="B31" s="43">
        <v>3</v>
      </c>
      <c r="C31" s="51">
        <v>108.568</v>
      </c>
      <c r="D31" s="52">
        <v>12756</v>
      </c>
      <c r="E31" s="52">
        <v>79438</v>
      </c>
      <c r="F31" s="52">
        <v>26.8594</v>
      </c>
      <c r="G31" s="39">
        <v>228086</v>
      </c>
      <c r="H31" s="51">
        <v>112.405</v>
      </c>
      <c r="I31" s="52">
        <v>10254</v>
      </c>
      <c r="J31" s="52">
        <v>85199</v>
      </c>
      <c r="K31" s="52">
        <v>24.6341</v>
      </c>
      <c r="L31" s="39">
        <v>209189</v>
      </c>
      <c r="M31" s="51">
        <v>107.541</v>
      </c>
      <c r="N31" s="52">
        <v>10656</v>
      </c>
      <c r="O31" s="52">
        <v>80666</v>
      </c>
      <c r="P31" s="52">
        <v>27.2152</v>
      </c>
      <c r="Q31" s="39">
        <v>231107</v>
      </c>
      <c r="R31" s="51">
        <v>109.878</v>
      </c>
      <c r="S31" s="52">
        <v>3600</v>
      </c>
      <c r="T31" s="52">
        <v>89707</v>
      </c>
      <c r="U31" s="52">
        <v>25.8642</v>
      </c>
      <c r="V31" s="39">
        <v>219635</v>
      </c>
      <c r="W31" s="63">
        <f t="shared" si="2"/>
        <v>1</v>
      </c>
      <c r="X31" s="64">
        <f t="shared" si="3"/>
        <v>5</v>
      </c>
    </row>
    <row r="32" spans="1:24" ht="12.75">
      <c r="A32" s="43">
        <v>2</v>
      </c>
      <c r="B32" s="43">
        <v>3</v>
      </c>
      <c r="C32" s="51">
        <v>104.527</v>
      </c>
      <c r="D32" s="52">
        <v>14016</v>
      </c>
      <c r="E32" s="52">
        <v>74747</v>
      </c>
      <c r="F32" s="52">
        <v>26.1898</v>
      </c>
      <c r="G32" s="39">
        <v>222400</v>
      </c>
      <c r="H32" s="51">
        <v>88.5838</v>
      </c>
      <c r="I32" s="52">
        <v>10903</v>
      </c>
      <c r="J32" s="52">
        <v>64321</v>
      </c>
      <c r="K32" s="52">
        <v>23.5453</v>
      </c>
      <c r="L32" s="39">
        <v>199943</v>
      </c>
      <c r="M32" s="51">
        <v>103.562</v>
      </c>
      <c r="N32" s="52">
        <v>11882</v>
      </c>
      <c r="O32" s="52">
        <v>76061</v>
      </c>
      <c r="P32" s="52">
        <v>26.5847</v>
      </c>
      <c r="Q32" s="39">
        <v>225753</v>
      </c>
      <c r="R32" s="51">
        <v>86.4582</v>
      </c>
      <c r="S32" s="52">
        <v>3223</v>
      </c>
      <c r="T32" s="52">
        <v>70196</v>
      </c>
      <c r="U32" s="52">
        <v>25.5644</v>
      </c>
      <c r="V32" s="39">
        <v>217089</v>
      </c>
      <c r="W32" s="63">
        <f t="shared" si="2"/>
        <v>1</v>
      </c>
      <c r="X32" s="64">
        <f t="shared" si="3"/>
        <v>8</v>
      </c>
    </row>
    <row r="33" spans="1:24" ht="12.75">
      <c r="A33" s="43">
        <v>3</v>
      </c>
      <c r="B33" s="43">
        <v>3</v>
      </c>
      <c r="C33" s="51">
        <v>100.79</v>
      </c>
      <c r="D33" s="52">
        <v>15596</v>
      </c>
      <c r="E33" s="52">
        <v>69993</v>
      </c>
      <c r="F33" s="52">
        <v>25.4211</v>
      </c>
      <c r="G33" s="39">
        <v>215872</v>
      </c>
      <c r="H33" s="51">
        <v>79.2937</v>
      </c>
      <c r="I33" s="52">
        <v>11697</v>
      </c>
      <c r="J33" s="52">
        <v>55638</v>
      </c>
      <c r="K33" s="52">
        <v>22.5855</v>
      </c>
      <c r="L33" s="39">
        <v>191793</v>
      </c>
      <c r="M33" s="51">
        <v>100.016</v>
      </c>
      <c r="N33" s="52">
        <v>13426</v>
      </c>
      <c r="O33" s="52">
        <v>71506</v>
      </c>
      <c r="P33" s="52">
        <v>25.8991</v>
      </c>
      <c r="Q33" s="39">
        <v>219931</v>
      </c>
      <c r="R33" s="51">
        <v>77.4955</v>
      </c>
      <c r="S33" s="52">
        <v>3028</v>
      </c>
      <c r="T33" s="52">
        <v>62780</v>
      </c>
      <c r="U33" s="52">
        <v>25.3123</v>
      </c>
      <c r="V33" s="39">
        <v>214948</v>
      </c>
      <c r="W33" s="63">
        <f t="shared" si="2"/>
        <v>2</v>
      </c>
      <c r="X33" s="64">
        <f t="shared" si="3"/>
        <v>11</v>
      </c>
    </row>
    <row r="34" spans="1:24" ht="12.75">
      <c r="A34" s="43">
        <v>4</v>
      </c>
      <c r="B34" s="43">
        <v>3</v>
      </c>
      <c r="C34" s="51">
        <v>98.0352</v>
      </c>
      <c r="D34" s="52">
        <v>17021</v>
      </c>
      <c r="E34" s="52">
        <v>66229</v>
      </c>
      <c r="F34" s="52">
        <v>24.6896</v>
      </c>
      <c r="G34" s="39">
        <v>209660</v>
      </c>
      <c r="H34" s="51">
        <v>71.969</v>
      </c>
      <c r="I34" s="52">
        <v>12673</v>
      </c>
      <c r="J34" s="52">
        <v>48442</v>
      </c>
      <c r="K34" s="52">
        <v>21.6702</v>
      </c>
      <c r="L34" s="39">
        <v>184020</v>
      </c>
      <c r="M34" s="51">
        <v>97.225</v>
      </c>
      <c r="N34" s="52">
        <v>14561</v>
      </c>
      <c r="O34" s="52">
        <v>68001</v>
      </c>
      <c r="P34" s="52">
        <v>25.3159</v>
      </c>
      <c r="Q34" s="39">
        <v>214979</v>
      </c>
      <c r="R34" s="51">
        <v>70.0166</v>
      </c>
      <c r="S34" s="52">
        <v>3073</v>
      </c>
      <c r="T34" s="52">
        <v>56384</v>
      </c>
      <c r="U34" s="52">
        <v>25.0766</v>
      </c>
      <c r="V34" s="39">
        <v>212947</v>
      </c>
      <c r="W34" s="63">
        <f t="shared" si="2"/>
        <v>2</v>
      </c>
      <c r="X34" s="64">
        <f t="shared" si="3"/>
        <v>14</v>
      </c>
    </row>
    <row r="35" spans="1:24" ht="12.75">
      <c r="A35" s="43">
        <v>1</v>
      </c>
      <c r="B35" s="43">
        <v>4</v>
      </c>
      <c r="C35" s="51">
        <v>108.364</v>
      </c>
      <c r="D35" s="52">
        <v>12328</v>
      </c>
      <c r="E35" s="52">
        <v>79693</v>
      </c>
      <c r="F35" s="52">
        <v>26.3964</v>
      </c>
      <c r="G35" s="39">
        <v>224154</v>
      </c>
      <c r="H35" s="51">
        <v>111.956</v>
      </c>
      <c r="I35" s="52">
        <v>9147</v>
      </c>
      <c r="J35" s="52">
        <v>85924</v>
      </c>
      <c r="K35" s="52">
        <v>22.9374</v>
      </c>
      <c r="L35" s="39">
        <v>194781</v>
      </c>
      <c r="M35" s="51">
        <v>107.132</v>
      </c>
      <c r="N35" s="52">
        <v>9704</v>
      </c>
      <c r="O35" s="52">
        <v>81271</v>
      </c>
      <c r="P35" s="52">
        <v>26.9112</v>
      </c>
      <c r="Q35" s="39">
        <v>228526</v>
      </c>
      <c r="R35" s="51">
        <v>109.678</v>
      </c>
      <c r="S35" s="52">
        <v>3030</v>
      </c>
      <c r="T35" s="52">
        <v>90107</v>
      </c>
      <c r="U35" s="52">
        <v>24.0221</v>
      </c>
      <c r="V35" s="39">
        <v>203992</v>
      </c>
      <c r="W35" s="63">
        <f t="shared" si="2"/>
        <v>2</v>
      </c>
      <c r="X35" s="64">
        <f t="shared" si="3"/>
        <v>5</v>
      </c>
    </row>
    <row r="36" spans="1:24" ht="12.75">
      <c r="A36" s="43">
        <v>2</v>
      </c>
      <c r="B36" s="43">
        <v>4</v>
      </c>
      <c r="C36" s="51">
        <v>103.874</v>
      </c>
      <c r="D36" s="52">
        <v>12694</v>
      </c>
      <c r="E36" s="52">
        <v>75514</v>
      </c>
      <c r="F36" s="52">
        <v>25.9283</v>
      </c>
      <c r="G36" s="39">
        <v>220179</v>
      </c>
      <c r="H36" s="51">
        <v>88.0798</v>
      </c>
      <c r="I36" s="52">
        <v>9621</v>
      </c>
      <c r="J36" s="52">
        <v>65175</v>
      </c>
      <c r="K36" s="52">
        <v>22.04</v>
      </c>
      <c r="L36" s="39">
        <v>187160</v>
      </c>
      <c r="M36" s="51">
        <v>102.761</v>
      </c>
      <c r="N36" s="52">
        <v>10471</v>
      </c>
      <c r="O36" s="52">
        <v>76792</v>
      </c>
      <c r="P36" s="52">
        <v>26.3607</v>
      </c>
      <c r="Q36" s="39">
        <v>223851</v>
      </c>
      <c r="R36" s="51">
        <v>85.8412</v>
      </c>
      <c r="S36" s="52">
        <v>2769</v>
      </c>
      <c r="T36" s="52">
        <v>70126</v>
      </c>
      <c r="U36" s="52">
        <v>23.7263</v>
      </c>
      <c r="V36" s="39">
        <v>201480</v>
      </c>
      <c r="W36" s="63">
        <f t="shared" si="2"/>
        <v>2</v>
      </c>
      <c r="X36" s="64">
        <f t="shared" si="3"/>
        <v>7</v>
      </c>
    </row>
    <row r="37" spans="1:24" ht="12.75">
      <c r="A37" s="43">
        <v>3</v>
      </c>
      <c r="B37" s="43">
        <v>4</v>
      </c>
      <c r="C37" s="51">
        <v>99.8487</v>
      </c>
      <c r="D37" s="52">
        <v>13727</v>
      </c>
      <c r="E37" s="52">
        <v>71063</v>
      </c>
      <c r="F37" s="52">
        <v>25.3268</v>
      </c>
      <c r="G37" s="39">
        <v>215071</v>
      </c>
      <c r="H37" s="51">
        <v>78.6166</v>
      </c>
      <c r="I37" s="52">
        <v>9746</v>
      </c>
      <c r="J37" s="52">
        <v>57014</v>
      </c>
      <c r="K37" s="52">
        <v>21.3749</v>
      </c>
      <c r="L37" s="39">
        <v>181512</v>
      </c>
      <c r="M37" s="51">
        <v>99.0903</v>
      </c>
      <c r="N37" s="52">
        <v>11348</v>
      </c>
      <c r="O37" s="52">
        <v>72798</v>
      </c>
      <c r="P37" s="52">
        <v>25.8362</v>
      </c>
      <c r="Q37" s="39">
        <v>219397</v>
      </c>
      <c r="R37" s="51">
        <v>77.3695</v>
      </c>
      <c r="S37" s="52">
        <v>2571</v>
      </c>
      <c r="T37" s="52">
        <v>63130</v>
      </c>
      <c r="U37" s="52">
        <v>23.548</v>
      </c>
      <c r="V37" s="39">
        <v>199966</v>
      </c>
      <c r="W37" s="63">
        <f t="shared" si="2"/>
        <v>2</v>
      </c>
      <c r="X37" s="64">
        <f t="shared" si="3"/>
        <v>9</v>
      </c>
    </row>
    <row r="38" spans="1:24" ht="12.75">
      <c r="A38" s="43">
        <v>4</v>
      </c>
      <c r="B38" s="43">
        <v>4</v>
      </c>
      <c r="C38" s="51">
        <v>97.026</v>
      </c>
      <c r="D38" s="52">
        <v>14387</v>
      </c>
      <c r="E38" s="52">
        <v>68006</v>
      </c>
      <c r="F38" s="52">
        <v>24.8296</v>
      </c>
      <c r="G38" s="39">
        <v>210849</v>
      </c>
      <c r="H38" s="51">
        <v>71.0752</v>
      </c>
      <c r="I38" s="52">
        <v>10386</v>
      </c>
      <c r="J38" s="52">
        <v>49970</v>
      </c>
      <c r="K38" s="52">
        <v>20.6619</v>
      </c>
      <c r="L38" s="39">
        <v>175458</v>
      </c>
      <c r="M38" s="51">
        <v>96.257</v>
      </c>
      <c r="N38" s="52">
        <v>12459</v>
      </c>
      <c r="O38" s="52">
        <v>69281</v>
      </c>
      <c r="P38" s="52">
        <v>25.3125</v>
      </c>
      <c r="Q38" s="39">
        <v>214950</v>
      </c>
      <c r="R38" s="51">
        <v>69.7445</v>
      </c>
      <c r="S38" s="52">
        <v>2492</v>
      </c>
      <c r="T38" s="52">
        <v>56734</v>
      </c>
      <c r="U38" s="52">
        <v>23.3344</v>
      </c>
      <c r="V38" s="39">
        <v>198152</v>
      </c>
      <c r="W38" s="63">
        <f t="shared" si="2"/>
        <v>2</v>
      </c>
      <c r="X38" s="64">
        <f t="shared" si="3"/>
        <v>11</v>
      </c>
    </row>
    <row r="39" spans="1:24" ht="12.75">
      <c r="A39" s="43"/>
      <c r="B39" s="43"/>
      <c r="C39" s="53"/>
      <c r="D39" s="54"/>
      <c r="E39" s="54"/>
      <c r="F39" s="54"/>
      <c r="G39" s="55"/>
      <c r="H39" s="53"/>
      <c r="I39" s="54"/>
      <c r="J39" s="54"/>
      <c r="K39" s="54"/>
      <c r="L39" s="55"/>
      <c r="M39" s="53"/>
      <c r="N39" s="54"/>
      <c r="O39" s="54"/>
      <c r="P39" s="54"/>
      <c r="Q39" s="55"/>
      <c r="R39" s="53"/>
      <c r="S39" s="54"/>
      <c r="T39" s="54"/>
      <c r="U39" s="54"/>
      <c r="V39" s="55"/>
      <c r="W39" s="63"/>
      <c r="X39" s="64"/>
    </row>
    <row r="40" spans="1:24" ht="25.5">
      <c r="A40" s="44" t="s">
        <v>37</v>
      </c>
      <c r="B40" s="43"/>
      <c r="C40" s="53"/>
      <c r="D40" s="54"/>
      <c r="E40" s="54"/>
      <c r="F40" s="54"/>
      <c r="G40" s="55"/>
      <c r="H40" s="53"/>
      <c r="I40" s="54"/>
      <c r="J40" s="54"/>
      <c r="K40" s="54"/>
      <c r="L40" s="55"/>
      <c r="M40" s="53"/>
      <c r="N40" s="54"/>
      <c r="O40" s="54"/>
      <c r="P40" s="54"/>
      <c r="Q40" s="55"/>
      <c r="R40" s="53"/>
      <c r="S40" s="54"/>
      <c r="T40" s="54"/>
      <c r="U40" s="54"/>
      <c r="V40" s="55"/>
      <c r="W40" s="63"/>
      <c r="X40" s="64"/>
    </row>
    <row r="41" spans="1:24" ht="12.75">
      <c r="A41" s="43">
        <v>1</v>
      </c>
      <c r="B41" s="43">
        <v>1</v>
      </c>
      <c r="C41" s="51">
        <v>134.312</v>
      </c>
      <c r="D41" s="52">
        <v>7443</v>
      </c>
      <c r="E41" s="52">
        <v>21071</v>
      </c>
      <c r="F41" s="52">
        <v>24.9432</v>
      </c>
      <c r="G41" s="39">
        <v>211814</v>
      </c>
      <c r="H41" s="51">
        <v>128.453</v>
      </c>
      <c r="I41" s="52">
        <v>4554</v>
      </c>
      <c r="J41" s="52">
        <v>22716</v>
      </c>
      <c r="K41" s="52">
        <v>31.3133</v>
      </c>
      <c r="L41" s="39">
        <v>265908</v>
      </c>
      <c r="M41" s="51">
        <v>132.758</v>
      </c>
      <c r="N41" s="52">
        <v>6722</v>
      </c>
      <c r="O41" s="52">
        <v>21462</v>
      </c>
      <c r="P41" s="52">
        <v>25.3982</v>
      </c>
      <c r="Q41" s="39">
        <v>215678</v>
      </c>
      <c r="R41" s="51">
        <v>122.329</v>
      </c>
      <c r="S41" s="52">
        <v>1360</v>
      </c>
      <c r="T41" s="52">
        <v>24610</v>
      </c>
      <c r="U41" s="52">
        <v>33.9013</v>
      </c>
      <c r="V41" s="39">
        <v>287885</v>
      </c>
      <c r="W41" s="63">
        <f aca="true" t="shared" si="4" ref="W41:W56">ROUND((((P41-F41)/P41)*100),0)</f>
        <v>2</v>
      </c>
      <c r="X41" s="64">
        <f aca="true" t="shared" si="5" ref="X41:X56">ROUND((((U41-K41)/U41)*100),0)</f>
        <v>8</v>
      </c>
    </row>
    <row r="42" spans="1:24" ht="12.75">
      <c r="A42" s="43">
        <v>2</v>
      </c>
      <c r="B42" s="43">
        <v>1</v>
      </c>
      <c r="C42" s="51">
        <v>133.686</v>
      </c>
      <c r="D42" s="52">
        <v>11138</v>
      </c>
      <c r="E42" s="52">
        <v>17243</v>
      </c>
      <c r="F42" s="52">
        <v>21.7225</v>
      </c>
      <c r="G42" s="39">
        <v>184464</v>
      </c>
      <c r="H42" s="51">
        <v>104.213</v>
      </c>
      <c r="I42" s="52">
        <v>5909</v>
      </c>
      <c r="J42" s="52">
        <v>16215</v>
      </c>
      <c r="K42" s="52">
        <v>28.2765</v>
      </c>
      <c r="L42" s="39">
        <v>240120</v>
      </c>
      <c r="M42" s="51">
        <v>132.81</v>
      </c>
      <c r="N42" s="52">
        <v>10460</v>
      </c>
      <c r="O42" s="52">
        <v>17735</v>
      </c>
      <c r="P42" s="52">
        <v>22.212</v>
      </c>
      <c r="Q42" s="39">
        <v>188621</v>
      </c>
      <c r="R42" s="51">
        <v>96.2523</v>
      </c>
      <c r="S42" s="52">
        <v>1349</v>
      </c>
      <c r="T42" s="52">
        <v>19085</v>
      </c>
      <c r="U42" s="52">
        <v>33.2372</v>
      </c>
      <c r="V42" s="39">
        <v>282245</v>
      </c>
      <c r="W42" s="63">
        <f t="shared" si="4"/>
        <v>2</v>
      </c>
      <c r="X42" s="64">
        <f t="shared" si="5"/>
        <v>15</v>
      </c>
    </row>
    <row r="43" spans="1:24" ht="12.75">
      <c r="A43" s="43">
        <v>3</v>
      </c>
      <c r="B43" s="43">
        <v>1</v>
      </c>
      <c r="C43" s="51">
        <v>132.876</v>
      </c>
      <c r="D43" s="52">
        <v>13595</v>
      </c>
      <c r="E43" s="52">
        <v>14614</v>
      </c>
      <c r="F43" s="52">
        <v>19.0624</v>
      </c>
      <c r="G43" s="39">
        <v>161875</v>
      </c>
      <c r="H43" s="51">
        <v>94.8345</v>
      </c>
      <c r="I43" s="52">
        <v>6702</v>
      </c>
      <c r="J43" s="52">
        <v>13431</v>
      </c>
      <c r="K43" s="52">
        <v>26.0817</v>
      </c>
      <c r="L43" s="39">
        <v>221482</v>
      </c>
      <c r="M43" s="51">
        <v>130.167</v>
      </c>
      <c r="N43" s="52">
        <v>12467</v>
      </c>
      <c r="O43" s="52">
        <v>15167</v>
      </c>
      <c r="P43" s="52">
        <v>19.8481</v>
      </c>
      <c r="Q43" s="39">
        <v>168547</v>
      </c>
      <c r="R43" s="51">
        <v>86.1721</v>
      </c>
      <c r="S43" s="52">
        <v>1395</v>
      </c>
      <c r="T43" s="52">
        <v>16899</v>
      </c>
      <c r="U43" s="52">
        <v>32.6061</v>
      </c>
      <c r="V43" s="39">
        <v>276886</v>
      </c>
      <c r="W43" s="63">
        <f t="shared" si="4"/>
        <v>4</v>
      </c>
      <c r="X43" s="64">
        <f t="shared" si="5"/>
        <v>20</v>
      </c>
    </row>
    <row r="44" spans="1:24" ht="12.75">
      <c r="A44" s="43">
        <v>4</v>
      </c>
      <c r="B44" s="43">
        <v>1</v>
      </c>
      <c r="C44" s="51">
        <v>132.72</v>
      </c>
      <c r="D44" s="52">
        <v>15913</v>
      </c>
      <c r="E44" s="52">
        <v>12263</v>
      </c>
      <c r="F44" s="52">
        <v>16.5127</v>
      </c>
      <c r="G44" s="39">
        <v>140223</v>
      </c>
      <c r="H44" s="51">
        <v>87.9714</v>
      </c>
      <c r="I44" s="52">
        <v>7607</v>
      </c>
      <c r="J44" s="52">
        <v>11069</v>
      </c>
      <c r="K44" s="52">
        <v>23.5559</v>
      </c>
      <c r="L44" s="39">
        <v>200033</v>
      </c>
      <c r="M44" s="51">
        <v>128.919</v>
      </c>
      <c r="N44" s="52">
        <v>14150</v>
      </c>
      <c r="O44" s="52">
        <v>13219</v>
      </c>
      <c r="P44" s="52">
        <v>17.7701</v>
      </c>
      <c r="Q44" s="39">
        <v>150901</v>
      </c>
      <c r="R44" s="51">
        <v>77.9665</v>
      </c>
      <c r="S44" s="52">
        <v>1300</v>
      </c>
      <c r="T44" s="52">
        <v>15252</v>
      </c>
      <c r="U44" s="52">
        <v>32.5047</v>
      </c>
      <c r="V44" s="39">
        <v>276025</v>
      </c>
      <c r="W44" s="63">
        <f t="shared" si="4"/>
        <v>7</v>
      </c>
      <c r="X44" s="64">
        <f t="shared" si="5"/>
        <v>28</v>
      </c>
    </row>
    <row r="45" spans="1:24" ht="12.75">
      <c r="A45" s="43">
        <v>1</v>
      </c>
      <c r="B45" s="43">
        <v>2</v>
      </c>
      <c r="C45" s="51">
        <v>129.098</v>
      </c>
      <c r="D45" s="52">
        <v>5102</v>
      </c>
      <c r="E45" s="52">
        <v>22305</v>
      </c>
      <c r="F45" s="52">
        <v>26.6404</v>
      </c>
      <c r="G45" s="39">
        <v>226226</v>
      </c>
      <c r="H45" s="51">
        <v>126.149</v>
      </c>
      <c r="I45" s="52">
        <v>3485</v>
      </c>
      <c r="J45" s="52">
        <v>23296</v>
      </c>
      <c r="K45" s="52">
        <v>26.7565</v>
      </c>
      <c r="L45" s="39">
        <v>227212</v>
      </c>
      <c r="M45" s="51">
        <v>127.544</v>
      </c>
      <c r="N45" s="52">
        <v>4378</v>
      </c>
      <c r="O45" s="52">
        <v>22699</v>
      </c>
      <c r="P45" s="52">
        <v>27.0816</v>
      </c>
      <c r="Q45" s="39">
        <v>229973</v>
      </c>
      <c r="R45" s="51">
        <v>122.117</v>
      </c>
      <c r="S45" s="52">
        <v>1214</v>
      </c>
      <c r="T45" s="52">
        <v>24711</v>
      </c>
      <c r="U45" s="52">
        <v>28.3368</v>
      </c>
      <c r="V45" s="39">
        <v>240632</v>
      </c>
      <c r="W45" s="63">
        <f t="shared" si="4"/>
        <v>2</v>
      </c>
      <c r="X45" s="64">
        <f t="shared" si="5"/>
        <v>6</v>
      </c>
    </row>
    <row r="46" spans="1:24" ht="12.75">
      <c r="A46" s="43">
        <v>2</v>
      </c>
      <c r="B46" s="43">
        <v>2</v>
      </c>
      <c r="C46" s="51">
        <v>124.477</v>
      </c>
      <c r="D46" s="52">
        <v>6793</v>
      </c>
      <c r="E46" s="52">
        <v>19633</v>
      </c>
      <c r="F46" s="52">
        <v>24.8177</v>
      </c>
      <c r="G46" s="39">
        <v>210748</v>
      </c>
      <c r="H46" s="51">
        <v>100.869</v>
      </c>
      <c r="I46" s="52">
        <v>4171</v>
      </c>
      <c r="J46" s="52">
        <v>17243</v>
      </c>
      <c r="K46" s="52">
        <v>24.9969</v>
      </c>
      <c r="L46" s="39">
        <v>212270</v>
      </c>
      <c r="M46" s="51">
        <v>122.569</v>
      </c>
      <c r="N46" s="52">
        <v>5734</v>
      </c>
      <c r="O46" s="52">
        <v>20287</v>
      </c>
      <c r="P46" s="52">
        <v>25.6441</v>
      </c>
      <c r="Q46" s="39">
        <v>217766</v>
      </c>
      <c r="R46" s="51">
        <v>96.2146</v>
      </c>
      <c r="S46" s="52">
        <v>1266</v>
      </c>
      <c r="T46" s="52">
        <v>19160</v>
      </c>
      <c r="U46" s="52">
        <v>27.787</v>
      </c>
      <c r="V46" s="39">
        <v>235963</v>
      </c>
      <c r="W46" s="63">
        <f t="shared" si="4"/>
        <v>3</v>
      </c>
      <c r="X46" s="64">
        <f t="shared" si="5"/>
        <v>10</v>
      </c>
    </row>
    <row r="47" spans="1:24" ht="12.75">
      <c r="A47" s="43">
        <v>3</v>
      </c>
      <c r="B47" s="43">
        <v>2</v>
      </c>
      <c r="C47" s="51">
        <v>120.002</v>
      </c>
      <c r="D47" s="52">
        <v>7627</v>
      </c>
      <c r="E47" s="52">
        <v>17849</v>
      </c>
      <c r="F47" s="52">
        <v>23.4891</v>
      </c>
      <c r="G47" s="39">
        <v>199466</v>
      </c>
      <c r="H47" s="51">
        <v>89.8839</v>
      </c>
      <c r="I47" s="52">
        <v>4404</v>
      </c>
      <c r="J47" s="52">
        <v>14678</v>
      </c>
      <c r="K47" s="52">
        <v>23.7331</v>
      </c>
      <c r="L47" s="39">
        <v>201538</v>
      </c>
      <c r="M47" s="51">
        <v>117.614</v>
      </c>
      <c r="N47" s="52">
        <v>6051</v>
      </c>
      <c r="O47" s="52">
        <v>18918</v>
      </c>
      <c r="P47" s="52">
        <v>24.8166</v>
      </c>
      <c r="Q47" s="39">
        <v>210739</v>
      </c>
      <c r="R47" s="51">
        <v>85.5833</v>
      </c>
      <c r="S47" s="52">
        <v>1018</v>
      </c>
      <c r="T47" s="52">
        <v>17151</v>
      </c>
      <c r="U47" s="52">
        <v>27.7178</v>
      </c>
      <c r="V47" s="39">
        <v>235375</v>
      </c>
      <c r="W47" s="63">
        <f t="shared" si="4"/>
        <v>5</v>
      </c>
      <c r="X47" s="64">
        <f t="shared" si="5"/>
        <v>14</v>
      </c>
    </row>
    <row r="48" spans="1:24" ht="12.75">
      <c r="A48" s="43">
        <v>4</v>
      </c>
      <c r="B48" s="43">
        <v>2</v>
      </c>
      <c r="C48" s="51">
        <v>117.025</v>
      </c>
      <c r="D48" s="52">
        <v>8325</v>
      </c>
      <c r="E48" s="52">
        <v>16519</v>
      </c>
      <c r="F48" s="52">
        <v>22.3614</v>
      </c>
      <c r="G48" s="39">
        <v>189890</v>
      </c>
      <c r="H48" s="51">
        <v>81.9374</v>
      </c>
      <c r="I48" s="52">
        <v>4883</v>
      </c>
      <c r="J48" s="52">
        <v>12512</v>
      </c>
      <c r="K48" s="52">
        <v>22.3868</v>
      </c>
      <c r="L48" s="39">
        <v>190105</v>
      </c>
      <c r="M48" s="51">
        <v>114.929</v>
      </c>
      <c r="N48" s="52">
        <v>6973</v>
      </c>
      <c r="O48" s="52">
        <v>17426</v>
      </c>
      <c r="P48" s="52">
        <v>23.4523</v>
      </c>
      <c r="Q48" s="39">
        <v>199153</v>
      </c>
      <c r="R48" s="51">
        <v>77.6557</v>
      </c>
      <c r="S48" s="52">
        <v>1132</v>
      </c>
      <c r="T48" s="52">
        <v>15354</v>
      </c>
      <c r="U48" s="52">
        <v>27.221</v>
      </c>
      <c r="V48" s="39">
        <v>231157</v>
      </c>
      <c r="W48" s="63">
        <f t="shared" si="4"/>
        <v>5</v>
      </c>
      <c r="X48" s="64">
        <f t="shared" si="5"/>
        <v>18</v>
      </c>
    </row>
    <row r="49" spans="1:24" ht="12.75">
      <c r="A49" s="43">
        <v>1</v>
      </c>
      <c r="B49" s="43">
        <v>3</v>
      </c>
      <c r="C49" s="51">
        <v>126.21</v>
      </c>
      <c r="D49" s="52">
        <v>3777</v>
      </c>
      <c r="E49" s="52">
        <v>23017</v>
      </c>
      <c r="F49" s="52">
        <v>26.9414</v>
      </c>
      <c r="G49" s="39">
        <v>228782</v>
      </c>
      <c r="H49" s="51">
        <v>125.094</v>
      </c>
      <c r="I49" s="52">
        <v>2932</v>
      </c>
      <c r="J49" s="52">
        <v>23625</v>
      </c>
      <c r="K49" s="52">
        <v>25.0558</v>
      </c>
      <c r="L49" s="39">
        <v>212770</v>
      </c>
      <c r="M49" s="51">
        <v>124.99</v>
      </c>
      <c r="N49" s="52">
        <v>3217</v>
      </c>
      <c r="O49" s="52">
        <v>23318</v>
      </c>
      <c r="P49" s="52">
        <v>27.2629</v>
      </c>
      <c r="Q49" s="39">
        <v>231512</v>
      </c>
      <c r="R49" s="51">
        <v>121.693</v>
      </c>
      <c r="S49" s="52">
        <v>1005</v>
      </c>
      <c r="T49" s="52">
        <v>24830</v>
      </c>
      <c r="U49" s="52">
        <v>26.3018</v>
      </c>
      <c r="V49" s="39">
        <v>223351</v>
      </c>
      <c r="W49" s="63">
        <f t="shared" si="4"/>
        <v>1</v>
      </c>
      <c r="X49" s="64">
        <f t="shared" si="5"/>
        <v>5</v>
      </c>
    </row>
    <row r="50" spans="1:24" ht="12.75">
      <c r="A50" s="43">
        <v>2</v>
      </c>
      <c r="B50" s="43">
        <v>3</v>
      </c>
      <c r="C50" s="51">
        <v>121.241</v>
      </c>
      <c r="D50" s="52">
        <v>5024</v>
      </c>
      <c r="E50" s="52">
        <v>20715</v>
      </c>
      <c r="F50" s="52">
        <v>25.6307</v>
      </c>
      <c r="G50" s="39">
        <v>217652</v>
      </c>
      <c r="H50" s="51">
        <v>99.201</v>
      </c>
      <c r="I50" s="52">
        <v>3375</v>
      </c>
      <c r="J50" s="52">
        <v>17685</v>
      </c>
      <c r="K50" s="52">
        <v>23.6223</v>
      </c>
      <c r="L50" s="39">
        <v>200597</v>
      </c>
      <c r="M50" s="51">
        <v>119.192</v>
      </c>
      <c r="N50" s="52">
        <v>4051</v>
      </c>
      <c r="O50" s="52">
        <v>21253</v>
      </c>
      <c r="P50" s="52">
        <v>26.2806</v>
      </c>
      <c r="Q50" s="39">
        <v>223171</v>
      </c>
      <c r="R50" s="51">
        <v>94.9098</v>
      </c>
      <c r="S50" s="52">
        <v>826</v>
      </c>
      <c r="T50" s="52">
        <v>19323</v>
      </c>
      <c r="U50" s="52">
        <v>26.0257</v>
      </c>
      <c r="V50" s="39">
        <v>221006</v>
      </c>
      <c r="W50" s="63">
        <f t="shared" si="4"/>
        <v>2</v>
      </c>
      <c r="X50" s="64">
        <f t="shared" si="5"/>
        <v>9</v>
      </c>
    </row>
    <row r="51" spans="1:24" ht="12.75">
      <c r="A51" s="43">
        <v>3</v>
      </c>
      <c r="B51" s="43">
        <v>3</v>
      </c>
      <c r="C51" s="51">
        <v>116.37</v>
      </c>
      <c r="D51" s="52">
        <v>5768</v>
      </c>
      <c r="E51" s="52">
        <v>18937</v>
      </c>
      <c r="F51" s="52">
        <v>24.4646</v>
      </c>
      <c r="G51" s="39">
        <v>207750</v>
      </c>
      <c r="H51" s="51">
        <v>87.6323</v>
      </c>
      <c r="I51" s="52">
        <v>3364</v>
      </c>
      <c r="J51" s="52">
        <v>15240</v>
      </c>
      <c r="K51" s="52">
        <v>22.7598</v>
      </c>
      <c r="L51" s="39">
        <v>193273</v>
      </c>
      <c r="M51" s="51">
        <v>114.482</v>
      </c>
      <c r="N51" s="52">
        <v>4611</v>
      </c>
      <c r="O51" s="52">
        <v>19693</v>
      </c>
      <c r="P51" s="52">
        <v>25.3867</v>
      </c>
      <c r="Q51" s="39">
        <v>215580</v>
      </c>
      <c r="R51" s="51">
        <v>85.3195</v>
      </c>
      <c r="S51" s="52">
        <v>861</v>
      </c>
      <c r="T51" s="52">
        <v>17252</v>
      </c>
      <c r="U51" s="52">
        <v>25.6579</v>
      </c>
      <c r="V51" s="39">
        <v>217883</v>
      </c>
      <c r="W51" s="63">
        <f t="shared" si="4"/>
        <v>4</v>
      </c>
      <c r="X51" s="64">
        <f t="shared" si="5"/>
        <v>11</v>
      </c>
    </row>
    <row r="52" spans="1:24" ht="12.75">
      <c r="A52" s="43">
        <v>4</v>
      </c>
      <c r="B52" s="43">
        <v>3</v>
      </c>
      <c r="C52" s="51">
        <v>112.904</v>
      </c>
      <c r="D52" s="52">
        <v>5912</v>
      </c>
      <c r="E52" s="52">
        <v>18057</v>
      </c>
      <c r="F52" s="52">
        <v>23.9697</v>
      </c>
      <c r="G52" s="39">
        <v>203547</v>
      </c>
      <c r="H52" s="51">
        <v>79.9072</v>
      </c>
      <c r="I52" s="52">
        <v>3603</v>
      </c>
      <c r="J52" s="52">
        <v>13361</v>
      </c>
      <c r="K52" s="52">
        <v>21.9473</v>
      </c>
      <c r="L52" s="39">
        <v>186373</v>
      </c>
      <c r="M52" s="51">
        <v>111.778</v>
      </c>
      <c r="N52" s="52">
        <v>5379</v>
      </c>
      <c r="O52" s="52">
        <v>18351</v>
      </c>
      <c r="P52" s="52">
        <v>24.3297</v>
      </c>
      <c r="Q52" s="39">
        <v>206604</v>
      </c>
      <c r="R52" s="51">
        <v>77.6839</v>
      </c>
      <c r="S52" s="52">
        <v>812</v>
      </c>
      <c r="T52" s="52">
        <v>15680</v>
      </c>
      <c r="U52" s="52">
        <v>25.611</v>
      </c>
      <c r="V52" s="39">
        <v>217485</v>
      </c>
      <c r="W52" s="63">
        <f t="shared" si="4"/>
        <v>1</v>
      </c>
      <c r="X52" s="64">
        <f t="shared" si="5"/>
        <v>14</v>
      </c>
    </row>
    <row r="53" spans="1:24" ht="12.75">
      <c r="A53" s="43">
        <v>1</v>
      </c>
      <c r="B53" s="43">
        <v>4</v>
      </c>
      <c r="C53" s="51">
        <v>125.659</v>
      </c>
      <c r="D53" s="52">
        <v>3507</v>
      </c>
      <c r="E53" s="52">
        <v>23170</v>
      </c>
      <c r="F53" s="52">
        <v>26.5717</v>
      </c>
      <c r="G53" s="39">
        <v>225643</v>
      </c>
      <c r="H53" s="51">
        <v>124.769</v>
      </c>
      <c r="I53" s="52">
        <v>2785</v>
      </c>
      <c r="J53" s="52">
        <v>23703</v>
      </c>
      <c r="K53" s="52">
        <v>23.3213</v>
      </c>
      <c r="L53" s="39">
        <v>198041</v>
      </c>
      <c r="M53" s="51">
        <v>124.11</v>
      </c>
      <c r="N53" s="52">
        <v>2794</v>
      </c>
      <c r="O53" s="52">
        <v>23554</v>
      </c>
      <c r="P53" s="52">
        <v>27.0072</v>
      </c>
      <c r="Q53" s="39">
        <v>229341</v>
      </c>
      <c r="R53" s="51">
        <v>121.486</v>
      </c>
      <c r="S53" s="52">
        <v>939</v>
      </c>
      <c r="T53" s="52">
        <v>24852</v>
      </c>
      <c r="U53" s="52">
        <v>24.4357</v>
      </c>
      <c r="V53" s="39">
        <v>207504</v>
      </c>
      <c r="W53" s="63">
        <f t="shared" si="4"/>
        <v>2</v>
      </c>
      <c r="X53" s="64">
        <f t="shared" si="5"/>
        <v>5</v>
      </c>
    </row>
    <row r="54" spans="1:24" ht="12.75">
      <c r="A54" s="43">
        <v>2</v>
      </c>
      <c r="B54" s="43">
        <v>4</v>
      </c>
      <c r="C54" s="51">
        <v>119.498</v>
      </c>
      <c r="D54" s="52">
        <v>4196</v>
      </c>
      <c r="E54" s="52">
        <v>21173</v>
      </c>
      <c r="F54" s="52">
        <v>25.6361</v>
      </c>
      <c r="G54" s="39">
        <v>217698</v>
      </c>
      <c r="H54" s="51">
        <v>97.8774</v>
      </c>
      <c r="I54" s="52">
        <v>2864</v>
      </c>
      <c r="J54" s="52">
        <v>17915</v>
      </c>
      <c r="K54" s="52">
        <v>22.3074</v>
      </c>
      <c r="L54" s="39">
        <v>189431</v>
      </c>
      <c r="M54" s="51">
        <v>117.605</v>
      </c>
      <c r="N54" s="52">
        <v>3366</v>
      </c>
      <c r="O54" s="52">
        <v>21601</v>
      </c>
      <c r="P54" s="52">
        <v>26.2487</v>
      </c>
      <c r="Q54" s="39">
        <v>222900</v>
      </c>
      <c r="R54" s="51">
        <v>94.7403</v>
      </c>
      <c r="S54" s="52">
        <v>783</v>
      </c>
      <c r="T54" s="52">
        <v>19330</v>
      </c>
      <c r="U54" s="52">
        <v>24.1635</v>
      </c>
      <c r="V54" s="39">
        <v>205193</v>
      </c>
      <c r="W54" s="63">
        <f t="shared" si="4"/>
        <v>2</v>
      </c>
      <c r="X54" s="64">
        <f t="shared" si="5"/>
        <v>8</v>
      </c>
    </row>
    <row r="55" spans="1:24" ht="12.75">
      <c r="A55" s="43">
        <v>3</v>
      </c>
      <c r="B55" s="43">
        <v>4</v>
      </c>
      <c r="C55" s="51">
        <v>114.656</v>
      </c>
      <c r="D55" s="52">
        <v>4777</v>
      </c>
      <c r="E55" s="52">
        <v>19564</v>
      </c>
      <c r="F55" s="52">
        <v>24.7678</v>
      </c>
      <c r="G55" s="39">
        <v>210324</v>
      </c>
      <c r="H55" s="51">
        <v>86.7797</v>
      </c>
      <c r="I55" s="52">
        <v>2822</v>
      </c>
      <c r="J55" s="52">
        <v>15601</v>
      </c>
      <c r="K55" s="52">
        <v>21.6302</v>
      </c>
      <c r="L55" s="39">
        <v>183680</v>
      </c>
      <c r="M55" s="51">
        <v>112.776</v>
      </c>
      <c r="N55" s="52">
        <v>3677</v>
      </c>
      <c r="O55" s="52">
        <v>20265</v>
      </c>
      <c r="P55" s="52">
        <v>25.6637</v>
      </c>
      <c r="Q55" s="39">
        <v>217932</v>
      </c>
      <c r="R55" s="51">
        <v>85.0463</v>
      </c>
      <c r="S55" s="52">
        <v>694</v>
      </c>
      <c r="T55" s="52">
        <v>17361</v>
      </c>
      <c r="U55" s="52">
        <v>24.0671</v>
      </c>
      <c r="V55" s="39">
        <v>204374</v>
      </c>
      <c r="W55" s="63">
        <f t="shared" si="4"/>
        <v>3</v>
      </c>
      <c r="X55" s="64">
        <f t="shared" si="5"/>
        <v>10</v>
      </c>
    </row>
    <row r="56" spans="1:24" ht="13.5" thickBot="1">
      <c r="A56" s="45">
        <v>4</v>
      </c>
      <c r="B56" s="45">
        <v>4</v>
      </c>
      <c r="C56" s="56">
        <v>110.982</v>
      </c>
      <c r="D56" s="57">
        <v>5007</v>
      </c>
      <c r="E56" s="57">
        <v>18554</v>
      </c>
      <c r="F56" s="57">
        <v>24.1237</v>
      </c>
      <c r="G56" s="58">
        <v>204855</v>
      </c>
      <c r="H56" s="56">
        <v>78.3528</v>
      </c>
      <c r="I56" s="57">
        <v>2943</v>
      </c>
      <c r="J56" s="57">
        <v>13691</v>
      </c>
      <c r="K56" s="57">
        <v>20.9156</v>
      </c>
      <c r="L56" s="58">
        <v>177612</v>
      </c>
      <c r="M56" s="56">
        <v>108.89</v>
      </c>
      <c r="N56" s="57">
        <v>3867</v>
      </c>
      <c r="O56" s="57">
        <v>19250</v>
      </c>
      <c r="P56" s="57">
        <v>25.0478</v>
      </c>
      <c r="Q56" s="58">
        <v>212702</v>
      </c>
      <c r="R56" s="56">
        <v>76.9303</v>
      </c>
      <c r="S56" s="57">
        <v>676</v>
      </c>
      <c r="T56" s="57">
        <v>15656</v>
      </c>
      <c r="U56" s="57">
        <v>23.8707</v>
      </c>
      <c r="V56" s="58">
        <v>202706</v>
      </c>
      <c r="W56" s="65">
        <f t="shared" si="4"/>
        <v>4</v>
      </c>
      <c r="X56" s="66">
        <f t="shared" si="5"/>
        <v>12</v>
      </c>
    </row>
  </sheetData>
  <mergeCells count="6">
    <mergeCell ref="M1:V1"/>
    <mergeCell ref="R2:V2"/>
    <mergeCell ref="C1:L1"/>
    <mergeCell ref="H2:L2"/>
    <mergeCell ref="C2:G2"/>
    <mergeCell ref="M2:Q2"/>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1" t="s">
        <v>8</v>
      </c>
    </row>
    <row r="2" ht="12.75">
      <c r="A2" s="12" t="s">
        <v>38</v>
      </c>
    </row>
    <row r="3" ht="12.75">
      <c r="A3" s="12"/>
    </row>
    <row r="4" ht="12.75">
      <c r="A4" s="12"/>
    </row>
    <row r="5" ht="12.75">
      <c r="A5" s="12"/>
    </row>
    <row r="6" ht="12.75">
      <c r="A6" s="12"/>
    </row>
    <row r="7" ht="12.75">
      <c r="A7" s="12"/>
    </row>
    <row r="8" ht="12.75">
      <c r="A8" s="12"/>
    </row>
    <row r="9" ht="12.75">
      <c r="A9" s="12"/>
    </row>
    <row r="10" ht="12.75">
      <c r="A10" s="12"/>
    </row>
    <row r="11" ht="12.75">
      <c r="A11" s="12"/>
    </row>
    <row r="12" ht="12.75">
      <c r="A12" s="12"/>
    </row>
    <row r="13" ht="12.75">
      <c r="A13" s="12"/>
    </row>
    <row r="14" ht="12.75">
      <c r="A14" s="12"/>
    </row>
    <row r="15" ht="12.75">
      <c r="A15" s="12"/>
    </row>
    <row r="16" ht="12.75">
      <c r="A16" s="12"/>
    </row>
    <row r="17" ht="12.75">
      <c r="A17" s="12"/>
    </row>
    <row r="18" ht="12.75">
      <c r="A18" s="12"/>
    </row>
    <row r="19" ht="12.75">
      <c r="A19" s="12"/>
    </row>
    <row r="20" ht="12.75">
      <c r="A20" s="12"/>
    </row>
    <row r="21" ht="12.75">
      <c r="A21" s="12"/>
    </row>
    <row r="22" ht="12.75">
      <c r="A22" s="12"/>
    </row>
    <row r="23" ht="12.75">
      <c r="A23" s="12"/>
    </row>
    <row r="24" ht="12.75">
      <c r="A24" s="12"/>
    </row>
    <row r="25" ht="12.75">
      <c r="A25" s="12"/>
    </row>
    <row r="26" ht="12.75">
      <c r="A26" s="12"/>
    </row>
    <row r="27" ht="12.75">
      <c r="A27" s="12"/>
    </row>
    <row r="28" ht="12.75">
      <c r="A28" s="12"/>
    </row>
    <row r="29" ht="12.75">
      <c r="A29" s="12"/>
    </row>
    <row r="30" ht="12.75">
      <c r="A30" s="12"/>
    </row>
    <row r="31" ht="12.75">
      <c r="A31" s="12"/>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Qualcomm,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Srinivas Kandala</dc:creator>
  <cp:keywords/>
  <dc:description/>
  <cp:lastModifiedBy>Eldad Perahia</cp:lastModifiedBy>
  <cp:lastPrinted>2004-11-19T06:33:11Z</cp:lastPrinted>
  <dcterms:created xsi:type="dcterms:W3CDTF">2004-07-14T16:37:20Z</dcterms:created>
  <dcterms:modified xsi:type="dcterms:W3CDTF">2008-01-16T00:08:05Z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903311125</vt:i4>
  </property>
  <property fmtid="{D5CDD505-2E9C-101B-9397-08002B2CF9AE}" pid="3" name="_NewReviewCycle">
    <vt:lpwstr/>
  </property>
  <property fmtid="{D5CDD505-2E9C-101B-9397-08002B2CF9AE}" pid="4" name="_EmailSubject">
    <vt:lpwstr>Second CCA Simulations</vt:lpwstr>
  </property>
  <property fmtid="{D5CDD505-2E9C-101B-9397-08002B2CF9AE}" pid="5" name="_AuthorEmail">
    <vt:lpwstr>kandala@qualcomm.com</vt:lpwstr>
  </property>
  <property fmtid="{D5CDD505-2E9C-101B-9397-08002B2CF9AE}" pid="6" name="_AuthorEmailDisplayName">
    <vt:lpwstr>Kandala, Srinivas</vt:lpwstr>
  </property>
  <property fmtid="{D5CDD505-2E9C-101B-9397-08002B2CF9AE}" pid="7" name="_ReviewingToolsShownOnce">
    <vt:lpwstr/>
  </property>
</Properties>
</file>